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\\judhlnoacsrv\datavol\Users\McLaughlin\DCC\"/>
    </mc:Choice>
  </mc:AlternateContent>
  <xr:revisionPtr revIDLastSave="0" documentId="13_ncr:1_{020FF5D0-56DD-4938-BA21-556A42261BAE}" xr6:coauthVersionLast="47" xr6:coauthVersionMax="47" xr10:uidLastSave="{00000000-0000-0000-0000-000000000000}"/>
  <bookViews>
    <workbookView xWindow="-108" yWindow="-108" windowWidth="23256" windowHeight="14016" tabRatio="685" firstSheet="2" activeTab="2" xr2:uid="{00000000-000D-0000-FFFF-FFFF00000000}"/>
  </bookViews>
  <sheets>
    <sheet name="Case WT Development All " sheetId="56" state="hidden" r:id="rId1"/>
    <sheet name="NCR Time" sheetId="10" state="hidden" r:id="rId2"/>
    <sheet name="Model All- Adjusted travel" sheetId="67" r:id="rId3"/>
    <sheet name="Model  Summary" sheetId="69" state="hidden" r:id="rId4"/>
  </sheets>
  <definedNames>
    <definedName name="_xlnm.Print_Area" localSheetId="0">'Case WT Development All '!$B$1:$M$17</definedName>
    <definedName name="_xlnm.Print_Area" localSheetId="2">'Model All- Adjusted travel'!$A$1:$Y$23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6" i="67" l="1"/>
  <c r="Y15" i="67"/>
  <c r="Y14" i="67"/>
  <c r="Y13" i="67"/>
  <c r="Y12" i="67"/>
  <c r="Y11" i="67"/>
  <c r="Y10" i="67"/>
  <c r="Y9" i="67"/>
  <c r="Y8" i="67"/>
  <c r="Y7" i="67"/>
  <c r="Y6" i="67"/>
  <c r="Y5" i="67"/>
  <c r="Y4" i="67"/>
  <c r="L6" i="56"/>
  <c r="H21" i="69"/>
  <c r="H23" i="69"/>
  <c r="H22" i="69"/>
  <c r="H19" i="69"/>
  <c r="H18" i="69"/>
  <c r="H17" i="69"/>
  <c r="H16" i="69"/>
  <c r="H14" i="69"/>
  <c r="H13" i="69"/>
  <c r="H12" i="69"/>
  <c r="H9" i="69"/>
  <c r="H8" i="69"/>
  <c r="H7" i="69"/>
  <c r="H5" i="69"/>
  <c r="H4" i="69"/>
  <c r="H3" i="69"/>
  <c r="D4" i="69"/>
  <c r="D5" i="69"/>
  <c r="D6" i="69"/>
  <c r="D7" i="69"/>
  <c r="D8" i="69"/>
  <c r="D9" i="69"/>
  <c r="D10" i="69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3" i="69"/>
  <c r="C4" i="69"/>
  <c r="C5" i="69"/>
  <c r="C6" i="69"/>
  <c r="C7" i="69"/>
  <c r="C8" i="69"/>
  <c r="C9" i="69"/>
  <c r="C10" i="69"/>
  <c r="C11" i="69"/>
  <c r="C12" i="69"/>
  <c r="C13" i="69"/>
  <c r="C14" i="69"/>
  <c r="C15" i="69"/>
  <c r="C16" i="69"/>
  <c r="C17" i="69"/>
  <c r="C18" i="69"/>
  <c r="C19" i="69"/>
  <c r="C20" i="69"/>
  <c r="C21" i="69"/>
  <c r="C22" i="69"/>
  <c r="C23" i="69"/>
  <c r="C24" i="69"/>
  <c r="C3" i="69"/>
  <c r="H25" i="69" l="1"/>
  <c r="Y24" i="67"/>
  <c r="AA21" i="67"/>
  <c r="Z21" i="67"/>
  <c r="Y21" i="67"/>
  <c r="X21" i="67"/>
  <c r="E24" i="69" s="1"/>
  <c r="F24" i="69" s="1"/>
  <c r="W21" i="67"/>
  <c r="E23" i="69" s="1"/>
  <c r="F23" i="69" s="1"/>
  <c r="V21" i="67"/>
  <c r="E22" i="69" s="1"/>
  <c r="F22" i="69" s="1"/>
  <c r="U21" i="67"/>
  <c r="E21" i="69" s="1"/>
  <c r="F21" i="69" s="1"/>
  <c r="T21" i="67"/>
  <c r="S21" i="67"/>
  <c r="E19" i="69" s="1"/>
  <c r="F19" i="69" s="1"/>
  <c r="R21" i="67"/>
  <c r="E18" i="69" s="1"/>
  <c r="F18" i="69" s="1"/>
  <c r="Q21" i="67"/>
  <c r="E17" i="69" s="1"/>
  <c r="F17" i="69" s="1"/>
  <c r="P21" i="67"/>
  <c r="E16" i="69" s="1"/>
  <c r="F16" i="69" s="1"/>
  <c r="O21" i="67"/>
  <c r="E15" i="69" s="1"/>
  <c r="F15" i="69" s="1"/>
  <c r="N21" i="67"/>
  <c r="E14" i="69" s="1"/>
  <c r="F14" i="69" s="1"/>
  <c r="M21" i="67"/>
  <c r="E13" i="69" s="1"/>
  <c r="F13" i="69" s="1"/>
  <c r="L21" i="67"/>
  <c r="K21" i="67"/>
  <c r="E11" i="69" s="1"/>
  <c r="F11" i="69" s="1"/>
  <c r="J21" i="67"/>
  <c r="E10" i="69" s="1"/>
  <c r="F10" i="69" s="1"/>
  <c r="I21" i="67"/>
  <c r="E9" i="69" s="1"/>
  <c r="F9" i="69" s="1"/>
  <c r="H21" i="67"/>
  <c r="E8" i="69" s="1"/>
  <c r="F8" i="69" s="1"/>
  <c r="G21" i="67"/>
  <c r="E7" i="69" s="1"/>
  <c r="F7" i="69" s="1"/>
  <c r="F21" i="67"/>
  <c r="E6" i="69" s="1"/>
  <c r="F6" i="69" s="1"/>
  <c r="E21" i="67"/>
  <c r="E5" i="69" s="1"/>
  <c r="F5" i="69" s="1"/>
  <c r="D21" i="67"/>
  <c r="C21" i="67"/>
  <c r="E3" i="69" s="1"/>
  <c r="F3" i="69" s="1"/>
  <c r="AA20" i="67"/>
  <c r="Z20" i="67"/>
  <c r="Y20" i="67"/>
  <c r="X20" i="67"/>
  <c r="W20" i="67"/>
  <c r="V20" i="67"/>
  <c r="U20" i="67"/>
  <c r="T20" i="67"/>
  <c r="S20" i="67"/>
  <c r="R20" i="67"/>
  <c r="Q20" i="67"/>
  <c r="P20" i="67"/>
  <c r="O20" i="67"/>
  <c r="N20" i="67"/>
  <c r="M20" i="67"/>
  <c r="L20" i="67"/>
  <c r="K20" i="67"/>
  <c r="J20" i="67"/>
  <c r="I20" i="67"/>
  <c r="H20" i="67"/>
  <c r="G20" i="67"/>
  <c r="F20" i="67"/>
  <c r="E20" i="67"/>
  <c r="D20" i="67"/>
  <c r="C20" i="67"/>
  <c r="AA19" i="67"/>
  <c r="Z19" i="67"/>
  <c r="Z22" i="67" s="1"/>
  <c r="Y19" i="67"/>
  <c r="Y22" i="67" s="1"/>
  <c r="X19" i="67"/>
  <c r="X22" i="67" s="1"/>
  <c r="W19" i="67"/>
  <c r="W22" i="67" s="1"/>
  <c r="V19" i="67"/>
  <c r="V22" i="67" s="1"/>
  <c r="U19" i="67"/>
  <c r="T19" i="67"/>
  <c r="S19" i="67"/>
  <c r="R19" i="67"/>
  <c r="Q19" i="67"/>
  <c r="Q22" i="67" s="1"/>
  <c r="P19" i="67"/>
  <c r="P22" i="67" s="1"/>
  <c r="O19" i="67"/>
  <c r="N19" i="67"/>
  <c r="N22" i="67" s="1"/>
  <c r="M19" i="67"/>
  <c r="M22" i="67" s="1"/>
  <c r="L19" i="67"/>
  <c r="K19" i="67"/>
  <c r="J19" i="67"/>
  <c r="I19" i="67"/>
  <c r="I22" i="67" s="1"/>
  <c r="H19" i="67"/>
  <c r="H22" i="67" s="1"/>
  <c r="G19" i="67"/>
  <c r="F19" i="67"/>
  <c r="F22" i="67" s="1"/>
  <c r="E19" i="67"/>
  <c r="D19" i="67"/>
  <c r="C19" i="67"/>
  <c r="X17" i="67"/>
  <c r="W17" i="67"/>
  <c r="V17" i="67"/>
  <c r="U17" i="67"/>
  <c r="T17" i="67"/>
  <c r="S17" i="67"/>
  <c r="R17" i="67"/>
  <c r="Q17" i="67"/>
  <c r="P17" i="67"/>
  <c r="O17" i="67"/>
  <c r="N17" i="67"/>
  <c r="M17" i="67"/>
  <c r="L17" i="67"/>
  <c r="K17" i="67"/>
  <c r="J17" i="67"/>
  <c r="I17" i="67"/>
  <c r="H17" i="67"/>
  <c r="G17" i="67"/>
  <c r="F17" i="67"/>
  <c r="E17" i="67"/>
  <c r="D17" i="67"/>
  <c r="C17" i="67"/>
  <c r="AA16" i="67"/>
  <c r="B16" i="67"/>
  <c r="B15" i="67"/>
  <c r="B14" i="67"/>
  <c r="B13" i="67"/>
  <c r="B12" i="67"/>
  <c r="B11" i="67"/>
  <c r="B10" i="67"/>
  <c r="B9" i="67"/>
  <c r="B8" i="67"/>
  <c r="B7" i="67"/>
  <c r="B6" i="67"/>
  <c r="B4" i="67"/>
  <c r="Y17" i="67" l="1"/>
  <c r="R22" i="67"/>
  <c r="C22" i="67"/>
  <c r="O22" i="67"/>
  <c r="K22" i="67"/>
  <c r="S22" i="67"/>
  <c r="D22" i="67"/>
  <c r="E4" i="69"/>
  <c r="F4" i="69" s="1"/>
  <c r="L22" i="67"/>
  <c r="E12" i="69"/>
  <c r="F12" i="69" s="1"/>
  <c r="T22" i="67"/>
  <c r="E20" i="69"/>
  <c r="F20" i="69" s="1"/>
  <c r="G22" i="67"/>
  <c r="J22" i="67"/>
  <c r="E22" i="67"/>
  <c r="U22" i="67"/>
  <c r="Z18" i="67"/>
  <c r="Z23" i="67" s="1"/>
  <c r="K24" i="10"/>
  <c r="H10" i="10"/>
  <c r="F10" i="10"/>
  <c r="H9" i="10"/>
  <c r="H13" i="10"/>
  <c r="F13" i="10"/>
  <c r="H12" i="10"/>
  <c r="F12" i="10"/>
  <c r="H11" i="10"/>
  <c r="H8" i="10"/>
  <c r="H7" i="10"/>
  <c r="H6" i="10"/>
  <c r="F6" i="10"/>
  <c r="H5" i="10"/>
  <c r="F5" i="10"/>
  <c r="H4" i="10"/>
  <c r="C12" i="10"/>
  <c r="C13" i="10" s="1"/>
  <c r="C9" i="10"/>
  <c r="C10" i="10" s="1"/>
  <c r="K6" i="56"/>
  <c r="K7" i="56"/>
  <c r="K8" i="56"/>
  <c r="K9" i="56"/>
  <c r="K10" i="56"/>
  <c r="K11" i="56"/>
  <c r="K12" i="56"/>
  <c r="K13" i="56"/>
  <c r="K14" i="56"/>
  <c r="K15" i="56"/>
  <c r="K16" i="56"/>
  <c r="K17" i="56"/>
  <c r="K5" i="56"/>
  <c r="J5" i="56" l="1"/>
  <c r="H22" i="10" l="1"/>
  <c r="F14" i="10" l="1"/>
  <c r="F17" i="10"/>
  <c r="F19" i="10"/>
  <c r="F21" i="10"/>
  <c r="F23" i="10"/>
  <c r="H3" i="10" l="1"/>
  <c r="H14" i="10"/>
  <c r="H15" i="10"/>
  <c r="H16" i="10"/>
  <c r="H17" i="10"/>
  <c r="H18" i="10"/>
  <c r="H19" i="10"/>
  <c r="H20" i="10"/>
  <c r="H21" i="10"/>
  <c r="H23" i="10"/>
  <c r="H2" i="10"/>
  <c r="J17" i="56" l="1"/>
  <c r="J16" i="56"/>
  <c r="J15" i="56"/>
  <c r="M15" i="56" l="1"/>
  <c r="M17" i="56"/>
  <c r="M16" i="56"/>
  <c r="J6" i="56" l="1"/>
  <c r="J7" i="56"/>
  <c r="J8" i="56"/>
  <c r="J9" i="56"/>
  <c r="J10" i="56"/>
  <c r="J11" i="56"/>
  <c r="J12" i="56"/>
  <c r="J13" i="56"/>
  <c r="J14" i="56"/>
  <c r="M5" i="56" l="1"/>
  <c r="M9" i="56" l="1"/>
  <c r="M8" i="56"/>
  <c r="M7" i="56"/>
  <c r="M11" i="56"/>
  <c r="B5" i="67" l="1"/>
  <c r="U18" i="67" l="1"/>
  <c r="O18" i="67"/>
  <c r="S18" i="67"/>
  <c r="L18" i="67"/>
  <c r="T18" i="67"/>
  <c r="N18" i="67"/>
  <c r="J18" i="67"/>
  <c r="F18" i="67"/>
  <c r="I18" i="67"/>
  <c r="H18" i="67"/>
  <c r="R18" i="67"/>
  <c r="G18" i="67"/>
  <c r="P18" i="67"/>
  <c r="D18" i="67"/>
  <c r="V18" i="67"/>
  <c r="Q18" i="67"/>
  <c r="C18" i="67"/>
  <c r="E18" i="67"/>
  <c r="Y18" i="67"/>
  <c r="K18" i="67"/>
  <c r="M18" i="67"/>
  <c r="X18" i="67"/>
  <c r="W18" i="67"/>
  <c r="Q23" i="67" l="1"/>
  <c r="Q25" i="67" s="1"/>
  <c r="B17" i="69"/>
  <c r="G17" i="69" s="1"/>
  <c r="F23" i="67"/>
  <c r="F25" i="67" s="1"/>
  <c r="B6" i="69"/>
  <c r="G6" i="69" s="1"/>
  <c r="W23" i="67"/>
  <c r="W25" i="67" s="1"/>
  <c r="B23" i="69"/>
  <c r="G23" i="69" s="1"/>
  <c r="V23" i="67"/>
  <c r="V25" i="67" s="1"/>
  <c r="B22" i="69"/>
  <c r="G22" i="69" s="1"/>
  <c r="J23" i="67"/>
  <c r="J25" i="67" s="1"/>
  <c r="B10" i="69"/>
  <c r="G10" i="69" s="1"/>
  <c r="D23" i="67"/>
  <c r="D25" i="67" s="1"/>
  <c r="B4" i="69"/>
  <c r="G4" i="69" s="1"/>
  <c r="M23" i="67"/>
  <c r="M25" i="67" s="1"/>
  <c r="B13" i="69"/>
  <c r="G13" i="69" s="1"/>
  <c r="P23" i="67"/>
  <c r="P25" i="67" s="1"/>
  <c r="B16" i="69"/>
  <c r="G16" i="69" s="1"/>
  <c r="T23" i="67"/>
  <c r="T25" i="67" s="1"/>
  <c r="B20" i="69"/>
  <c r="G20" i="69" s="1"/>
  <c r="X23" i="67"/>
  <c r="X25" i="67" s="1"/>
  <c r="B24" i="69"/>
  <c r="G24" i="69" s="1"/>
  <c r="K23" i="67"/>
  <c r="K25" i="67" s="1"/>
  <c r="B11" i="69"/>
  <c r="G11" i="69" s="1"/>
  <c r="G23" i="67"/>
  <c r="G25" i="67" s="1"/>
  <c r="B7" i="69"/>
  <c r="G7" i="69" s="1"/>
  <c r="L23" i="67"/>
  <c r="L25" i="67" s="1"/>
  <c r="B12" i="69"/>
  <c r="G12" i="69" s="1"/>
  <c r="N23" i="67"/>
  <c r="N25" i="67" s="1"/>
  <c r="B14" i="69"/>
  <c r="G14" i="69" s="1"/>
  <c r="R23" i="67"/>
  <c r="R25" i="67" s="1"/>
  <c r="B18" i="69"/>
  <c r="G18" i="69" s="1"/>
  <c r="S23" i="67"/>
  <c r="S25" i="67" s="1"/>
  <c r="B19" i="69"/>
  <c r="G19" i="69" s="1"/>
  <c r="E23" i="67"/>
  <c r="E25" i="67" s="1"/>
  <c r="B5" i="69"/>
  <c r="G5" i="69" s="1"/>
  <c r="H23" i="67"/>
  <c r="H25" i="67" s="1"/>
  <c r="B8" i="69"/>
  <c r="G8" i="69" s="1"/>
  <c r="O23" i="67"/>
  <c r="O25" i="67" s="1"/>
  <c r="B15" i="69"/>
  <c r="G15" i="69" s="1"/>
  <c r="C23" i="67"/>
  <c r="B3" i="69"/>
  <c r="I23" i="67"/>
  <c r="I25" i="67" s="1"/>
  <c r="B9" i="69"/>
  <c r="G9" i="69" s="1"/>
  <c r="U23" i="67"/>
  <c r="U25" i="67" s="1"/>
  <c r="B21" i="69"/>
  <c r="G21" i="69" s="1"/>
  <c r="G3" i="69" l="1"/>
  <c r="G25" i="69" s="1"/>
  <c r="B25" i="69"/>
  <c r="C25" i="67"/>
  <c r="Y23" i="67"/>
  <c r="Y25" i="67" s="1"/>
  <c r="M12" i="56" l="1"/>
  <c r="M14" i="56"/>
</calcChain>
</file>

<file path=xl/sharedStrings.xml><?xml version="1.0" encoding="utf-8"?>
<sst xmlns="http://schemas.openxmlformats.org/spreadsheetml/2006/main" count="162" uniqueCount="105">
  <si>
    <t>Year Value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</si>
  <si>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</si>
  <si>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</si>
  <si>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</si>
  <si>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</si>
  <si>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</si>
  <si>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</si>
  <si>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</si>
  <si>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</si>
  <si>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</si>
  <si>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Total Data Collection Time</t>
  </si>
  <si>
    <t>J</t>
  </si>
  <si>
    <t>K</t>
  </si>
  <si>
    <t>Annualized Time</t>
  </si>
  <si>
    <t>Annual Cases</t>
  </si>
  <si>
    <t>TOTAL</t>
  </si>
  <si>
    <t>Time Study Minutes</t>
  </si>
  <si>
    <t>Average statewide travel per FTE per day:</t>
  </si>
  <si>
    <t>Average non-case-related time per FTE per day:</t>
  </si>
  <si>
    <t>Subtract Annual Non-Case-Related Time</t>
  </si>
  <si>
    <t>Subtract Annual Travel Time</t>
  </si>
  <si>
    <t>Other</t>
  </si>
  <si>
    <t>Time Study Travel Minutes</t>
  </si>
  <si>
    <t>State Total</t>
  </si>
  <si>
    <t>Case-specific Work Minutes (sum of WT x cases)</t>
  </si>
  <si>
    <t>Total Cases by Location</t>
  </si>
  <si>
    <t>CASE TYPES</t>
  </si>
  <si>
    <t>Travel (work related/reimbursable)</t>
  </si>
  <si>
    <t>Case Type</t>
  </si>
  <si>
    <t>Judge Count</t>
  </si>
  <si>
    <t>Non-Case-Specific Time All Participants</t>
  </si>
  <si>
    <t>Judicial Officer Annual Availability</t>
  </si>
  <si>
    <t>Judicial Officer Annual Case-Related Availability</t>
  </si>
  <si>
    <t>Judicial Officer FTE Demand</t>
  </si>
  <si>
    <t>CASE WEIGHTS</t>
  </si>
  <si>
    <t>1st District</t>
  </si>
  <si>
    <t>2nd District</t>
  </si>
  <si>
    <t>3rd District</t>
  </si>
  <si>
    <t>4th District</t>
  </si>
  <si>
    <t>5th District</t>
  </si>
  <si>
    <t>6th District</t>
  </si>
  <si>
    <t>7th District</t>
  </si>
  <si>
    <t>8th District</t>
  </si>
  <si>
    <t>9th District</t>
  </si>
  <si>
    <t>10th District</t>
  </si>
  <si>
    <t>11th District</t>
  </si>
  <si>
    <t>12th District</t>
  </si>
  <si>
    <t>13th District</t>
  </si>
  <si>
    <t>14th District</t>
  </si>
  <si>
    <t>15th District</t>
  </si>
  <si>
    <t>16th District</t>
  </si>
  <si>
    <t>17th District</t>
  </si>
  <si>
    <t>18th District</t>
  </si>
  <si>
    <t>19th District</t>
  </si>
  <si>
    <t>20th District</t>
  </si>
  <si>
    <t>21st District</t>
  </si>
  <si>
    <t>22nd District</t>
  </si>
  <si>
    <t>Non-Case-Related Administration</t>
  </si>
  <si>
    <t>Community activities, education, speaking engagement</t>
  </si>
  <si>
    <t>Committees, other meetings and related work</t>
  </si>
  <si>
    <t>General legal research</t>
  </si>
  <si>
    <t>Drug Court administrative time</t>
  </si>
  <si>
    <t>Travel time</t>
  </si>
  <si>
    <t>Criminal (DC)</t>
  </si>
  <si>
    <t>Civil (DV)</t>
  </si>
  <si>
    <t>Adoptions (DA)</t>
  </si>
  <si>
    <t>Guardian/Conservator (DG)</t>
  </si>
  <si>
    <t>Child Abuse and Neglect (DN)</t>
  </si>
  <si>
    <t>Probate (DP)</t>
  </si>
  <si>
    <t>Domestic Relations (DR)</t>
  </si>
  <si>
    <t>Paternity (DF)</t>
  </si>
  <si>
    <t>Commitment of a Person with Developmental Disability (DD)</t>
  </si>
  <si>
    <t>Commitment of a Person with a Mental Illness (DI)</t>
  </si>
  <si>
    <t>Investigative Subpoena (IS)/Search Warrant (SW)</t>
  </si>
  <si>
    <t>Treatment Courts/Drug Courts</t>
  </si>
  <si>
    <t>Pre-Trial Activities</t>
  </si>
  <si>
    <t>Jury Trial Activities</t>
  </si>
  <si>
    <t>Bench Trial Activities</t>
  </si>
  <si>
    <t>Post-Trial Activities</t>
  </si>
  <si>
    <t>Case-Related Administration</t>
  </si>
  <si>
    <t>Technology Delays</t>
  </si>
  <si>
    <t>Drug court – In Session</t>
  </si>
  <si>
    <t>L</t>
  </si>
  <si>
    <t>Annual Case Weight (J/K)</t>
  </si>
  <si>
    <t>Work Time Reported During  29-day Study Period (5/23 to 7/1/22)</t>
  </si>
  <si>
    <t>Average Travel Minutes
During the Time Study
per FTE per day by District</t>
  </si>
  <si>
    <t>Cases Filed by District</t>
  </si>
  <si>
    <t>Current Allocated Judicial Officer</t>
  </si>
  <si>
    <t>Total Judicial Surplus(-)/Deficit</t>
  </si>
  <si>
    <t>Avg. Travel Minutes Based on Mileage Reimbursement @ 50 MPH</t>
  </si>
  <si>
    <t>Average statewide travel per FTE per day based on travel logs</t>
  </si>
  <si>
    <t>Travel Time per District</t>
  </si>
  <si>
    <t>Annual Workload</t>
  </si>
  <si>
    <t>NCR Deduction</t>
  </si>
  <si>
    <t>Time Study Travel by County</t>
  </si>
  <si>
    <t>Judge Demand</t>
  </si>
  <si>
    <t>Current Judicial Officer Allocation</t>
  </si>
  <si>
    <t>Case-Related Year Value</t>
  </si>
  <si>
    <t>District</t>
  </si>
  <si>
    <t>Juvenile (DJ)</t>
  </si>
  <si>
    <t xml:space="preserve">Use 2013 numbers with a reduction </t>
  </si>
  <si>
    <t>of 20% for those with no travel</t>
  </si>
  <si>
    <t>Civil (DV) (does not include statutory liens)</t>
  </si>
  <si>
    <r>
      <t xml:space="preserve">Judicial Officer Need Model - Using </t>
    </r>
    <r>
      <rPr>
        <b/>
        <u/>
        <sz val="14"/>
        <color theme="4"/>
        <rFont val="Calibri"/>
        <family val="2"/>
        <scheme val="minor"/>
      </rPr>
      <t>Adjusted</t>
    </r>
    <r>
      <rPr>
        <b/>
        <sz val="14"/>
        <color theme="4"/>
        <rFont val="Calibri"/>
        <family val="2"/>
        <scheme val="minor"/>
      </rPr>
      <t xml:space="preserve"> Travel Minutes </t>
    </r>
    <r>
      <rPr>
        <b/>
        <sz val="14"/>
        <color theme="5"/>
        <rFont val="Calibri (Body)"/>
      </rPr>
      <t>2022 Filings</t>
    </r>
  </si>
  <si>
    <r>
      <t xml:space="preserve">District Court Judicial Officer Model: </t>
    </r>
    <r>
      <rPr>
        <b/>
        <sz val="11"/>
        <color rgb="FFFF0000"/>
        <rFont val="Calibri (Body)"/>
      </rPr>
      <t>2022 filings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</si>
</sst>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?,???,??0"/>
    <numFmt numFmtId="165" formatCode="???.00"/>
    <numFmt numFmtId="166" formatCode="?,???.00"/>
    <numFmt numFmtId="167" formatCode="???.0"/>
    <numFmt numFmtId="168" formatCode="#,##0.0"/>
    <numFmt numFmtId="169" formatCode="0.0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1"/>
      <color rgb="FFFF0000"/>
      <name val="Calibri (Body)"/>
    </font>
    <font>
      <b/>
      <sz val="14"/>
      <color theme="5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1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4" fillId="2" borderId="3" xfId="0" applyFont="1" applyFill="1" applyBorder="1"/>
    <xf numFmtId="3" fontId="13" fillId="0" borderId="7" xfId="1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8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3" fontId="3" fillId="2" borderId="11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3" fontId="13" fillId="0" borderId="0" xfId="0" applyNumberFormat="1" applyFont="1" applyAlignment="1">
      <alignment horizontal="center" vertical="center"/>
    </xf>
    <xf numFmtId="0" fontId="18" fillId="0" borderId="0" xfId="0" applyFont="1"/>
    <xf numFmtId="0" fontId="19" fillId="2" borderId="7" xfId="0" applyFont="1" applyFill="1" applyBorder="1" applyAlignment="1">
      <alignment horizontal="center" wrapText="1"/>
    </xf>
    <xf numFmtId="3" fontId="18" fillId="0" borderId="7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3" fontId="13" fillId="0" borderId="19" xfId="1" applyNumberFormat="1" applyFont="1" applyBorder="1" applyAlignment="1">
      <alignment horizontal="center" vertical="center"/>
    </xf>
    <xf numFmtId="3" fontId="13" fillId="0" borderId="12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6" fontId="14" fillId="0" borderId="7" xfId="1" applyNumberFormat="1" applyFont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2" borderId="8" xfId="0" applyFont="1" applyFill="1" applyBorder="1"/>
    <xf numFmtId="3" fontId="13" fillId="0" borderId="4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wrapText="1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20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3" fontId="9" fillId="2" borderId="9" xfId="0" applyNumberFormat="1" applyFont="1" applyFill="1" applyBorder="1" applyAlignment="1">
      <alignment horizontal="center"/>
    </xf>
    <xf numFmtId="165" fontId="7" fillId="0" borderId="0" xfId="0" applyNumberFormat="1" applyFont="1"/>
    <xf numFmtId="0" fontId="8" fillId="2" borderId="9" xfId="0" applyFont="1" applyFill="1" applyBorder="1"/>
    <xf numFmtId="165" fontId="14" fillId="0" borderId="12" xfId="1" applyNumberFormat="1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/>
    </xf>
    <xf numFmtId="165" fontId="14" fillId="2" borderId="5" xfId="0" applyNumberFormat="1" applyFont="1" applyFill="1" applyBorder="1"/>
    <xf numFmtId="165" fontId="14" fillId="0" borderId="22" xfId="1" applyNumberFormat="1" applyFont="1" applyBorder="1" applyAlignment="1">
      <alignment horizontal="center" vertical="center"/>
    </xf>
    <xf numFmtId="167" fontId="14" fillId="2" borderId="22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wrapText="1"/>
    </xf>
    <xf numFmtId="0" fontId="13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0" fontId="19" fillId="2" borderId="10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167" fontId="14" fillId="2" borderId="6" xfId="1" applyNumberFormat="1" applyFont="1" applyFill="1" applyBorder="1" applyAlignment="1">
      <alignment horizontal="center" vertical="center"/>
    </xf>
    <xf numFmtId="0" fontId="0" fillId="2" borderId="10" xfId="0" applyFill="1" applyBorder="1"/>
    <xf numFmtId="3" fontId="8" fillId="2" borderId="8" xfId="0" applyNumberFormat="1" applyFont="1" applyFill="1" applyBorder="1" applyAlignment="1">
      <alignment horizontal="center"/>
    </xf>
    <xf numFmtId="168" fontId="4" fillId="0" borderId="7" xfId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1"/>
    </xf>
    <xf numFmtId="165" fontId="14" fillId="2" borderId="3" xfId="0" applyNumberFormat="1" applyFont="1" applyFill="1" applyBorder="1"/>
    <xf numFmtId="165" fontId="14" fillId="0" borderId="7" xfId="1" applyNumberFormat="1" applyFont="1" applyBorder="1" applyAlignment="1">
      <alignment horizontal="center" vertical="center"/>
    </xf>
    <xf numFmtId="167" fontId="14" fillId="2" borderId="7" xfId="1" applyNumberFormat="1" applyFont="1" applyFill="1" applyBorder="1" applyAlignment="1">
      <alignment horizontal="center" vertical="center"/>
    </xf>
    <xf numFmtId="165" fontId="14" fillId="2" borderId="0" xfId="0" applyNumberFormat="1" applyFont="1" applyFill="1"/>
    <xf numFmtId="0" fontId="7" fillId="0" borderId="0" xfId="0" applyFont="1" applyAlignment="1">
      <alignment horizontal="center" wrapText="1"/>
    </xf>
    <xf numFmtId="3" fontId="1" fillId="0" borderId="7" xfId="1" applyNumberFormat="1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3" fontId="0" fillId="0" borderId="7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3" fontId="7" fillId="0" borderId="7" xfId="0" applyNumberFormat="1" applyFont="1" applyBorder="1"/>
    <xf numFmtId="3" fontId="7" fillId="0" borderId="7" xfId="1" applyNumberFormat="1" applyFont="1" applyBorder="1" applyAlignment="1">
      <alignment horizontal="center" vertical="center"/>
    </xf>
    <xf numFmtId="0" fontId="7" fillId="0" borderId="7" xfId="0" applyFont="1" applyBorder="1"/>
    <xf numFmtId="169" fontId="7" fillId="0" borderId="7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0" fontId="4" fillId="4" borderId="0" xfId="0" applyFont="1" applyFill="1" applyAlignment="1">
      <alignment horizontal="left" indent="1"/>
    </xf>
    <xf numFmtId="165" fontId="4" fillId="4" borderId="0" xfId="0" applyNumberFormat="1" applyFont="1" applyFill="1" applyAlignment="1">
      <alignment horizontal="center"/>
    </xf>
    <xf numFmtId="2" fontId="7" fillId="0" borderId="7" xfId="0" applyNumberFormat="1" applyFont="1" applyBorder="1" applyAlignment="1">
      <alignment horizontal="center"/>
    </xf>
    <xf numFmtId="165" fontId="14" fillId="2" borderId="4" xfId="1" applyNumberFormat="1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3" fontId="0" fillId="0" borderId="0" xfId="0" applyNumberFormat="1"/>
    <xf numFmtId="2" fontId="14" fillId="2" borderId="7" xfId="1" applyNumberFormat="1" applyFont="1" applyFill="1" applyBorder="1" applyAlignment="1">
      <alignment horizontal="center" vertical="center"/>
    </xf>
    <xf numFmtId="2" fontId="14" fillId="2" borderId="4" xfId="1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0" fillId="0" borderId="27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2" fillId="2" borderId="16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left" wrapText="1"/>
    </xf>
    <xf numFmtId="0" fontId="12" fillId="2" borderId="21" xfId="0" applyFont="1" applyFill="1" applyBorder="1" applyAlignment="1">
      <alignment horizontal="center"/>
    </xf>
    <xf numFmtId="0" fontId="22" fillId="0" borderId="0" xfId="0" applyFont="1" applyAlignment="1">
      <alignment horizontal="center"/>
    </xf>
  </cellXfs>
  <cellStyles count="251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 2" xfId="144" xr:uid="{00000000-0005-0000-0000-0000DD000000}"/>
    <cellStyle name="Hyperlink 3" xfId="169" xr:uid="{00000000-0005-0000-0000-0000DE000000}"/>
    <cellStyle name="Normal" xfId="0" builtinId="0"/>
    <cellStyle name="Normal 10" xfId="166" xr:uid="{00000000-0005-0000-0000-0000E0000000}"/>
    <cellStyle name="Normal 11" xfId="167" xr:uid="{00000000-0005-0000-0000-0000E1000000}"/>
    <cellStyle name="Normal 12" xfId="159" xr:uid="{00000000-0005-0000-0000-0000E2000000}"/>
    <cellStyle name="Normal 13" xfId="151" xr:uid="{00000000-0005-0000-0000-0000E3000000}"/>
    <cellStyle name="Normal 14" xfId="143" xr:uid="{00000000-0005-0000-0000-0000E4000000}"/>
    <cellStyle name="Normal 15" xfId="155" xr:uid="{00000000-0005-0000-0000-0000E5000000}"/>
    <cellStyle name="Normal 16" xfId="149" xr:uid="{00000000-0005-0000-0000-0000E6000000}"/>
    <cellStyle name="Normal 17" xfId="145" xr:uid="{00000000-0005-0000-0000-0000E7000000}"/>
    <cellStyle name="Normal 18" xfId="165" xr:uid="{00000000-0005-0000-0000-0000E8000000}"/>
    <cellStyle name="Normal 19" xfId="152" xr:uid="{00000000-0005-0000-0000-0000E9000000}"/>
    <cellStyle name="Normal 2" xfId="161" xr:uid="{00000000-0005-0000-0000-0000EA000000}"/>
    <cellStyle name="Normal 20" xfId="146" xr:uid="{00000000-0005-0000-0000-0000EB000000}"/>
    <cellStyle name="Normal 22" xfId="157" xr:uid="{00000000-0005-0000-0000-0000EC000000}"/>
    <cellStyle name="Normal 24" xfId="168" xr:uid="{00000000-0005-0000-0000-0000ED000000}"/>
    <cellStyle name="Normal 25" xfId="160" xr:uid="{00000000-0005-0000-0000-0000EE000000}"/>
    <cellStyle name="Normal 27" xfId="148" xr:uid="{00000000-0005-0000-0000-0000EF000000}"/>
    <cellStyle name="Normal 28" xfId="153" xr:uid="{00000000-0005-0000-0000-0000F0000000}"/>
    <cellStyle name="Normal 29" xfId="147" xr:uid="{00000000-0005-0000-0000-0000F1000000}"/>
    <cellStyle name="Normal 3" xfId="26" xr:uid="{00000000-0005-0000-0000-0000F2000000}"/>
    <cellStyle name="Normal 30" xfId="158" xr:uid="{00000000-0005-0000-0000-0000F3000000}"/>
    <cellStyle name="Normal 31" xfId="170" xr:uid="{00000000-0005-0000-0000-0000F4000000}"/>
    <cellStyle name="Normal 4" xfId="164" xr:uid="{00000000-0005-0000-0000-0000F5000000}"/>
    <cellStyle name="Normal 5" xfId="163" xr:uid="{00000000-0005-0000-0000-0000F6000000}"/>
    <cellStyle name="Normal 6" xfId="162" xr:uid="{00000000-0005-0000-0000-0000F7000000}"/>
    <cellStyle name="Normal 7" xfId="156" xr:uid="{00000000-0005-0000-0000-0000F8000000}"/>
    <cellStyle name="Normal 8" xfId="154" xr:uid="{00000000-0005-0000-0000-0000F9000000}"/>
    <cellStyle name="Normal 9" xfId="150" xr:uid="{00000000-0005-0000-0000-0000FA000000}"/>
  </cellStyles>
  <dxfs count="0"/>
  <tableStyles count="0" defaultTableStyle="TableStyleMedium9" defaultPivotStyle="PivotStyleMedium7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18"/>
  <sheetViews>
    <sheetView showGridLines="0" zoomScale="110" zoomScaleNormal="110" workbookViewId="0">
      <selection activeCell="M5" sqref="M5"/>
    </sheetView>
  </sheetViews>
  <sheetFormatPr defaultColWidth="11" defaultRowHeight="15.6"/>
  <cols>
    <col min="1" max="1" width="5" customWidth="1"/>
    <col min="2" max="2" width="32.296875" customWidth="1"/>
    <col min="3" max="3" width="10.296875" style="14" customWidth="1"/>
    <col min="4" max="4" width="9.296875" style="14" customWidth="1"/>
    <col min="5" max="5" width="9.5" style="14" customWidth="1"/>
    <col min="6" max="8" width="10.296875" style="14" customWidth="1"/>
    <col min="9" max="9" width="7.69921875" style="14" customWidth="1"/>
    <col min="10" max="10" width="9" customWidth="1"/>
    <col min="11" max="11" width="8.5" customWidth="1"/>
    <col min="12" max="12" width="8" customWidth="1"/>
  </cols>
  <sheetData>
    <row r="2" spans="1:14" ht="16.2" thickBot="1">
      <c r="B2" s="88" t="s">
        <v>84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4" ht="16.2" thickBot="1">
      <c r="B3" s="46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  <c r="K3" s="46" t="s">
        <v>11</v>
      </c>
      <c r="L3" s="49" t="s">
        <v>12</v>
      </c>
      <c r="M3" s="50" t="s">
        <v>82</v>
      </c>
    </row>
    <row r="4" spans="1:14" ht="48.75" customHeight="1">
      <c r="B4" s="51" t="s">
        <v>28</v>
      </c>
      <c r="C4" s="52" t="s">
        <v>75</v>
      </c>
      <c r="D4" s="52" t="s">
        <v>76</v>
      </c>
      <c r="E4" s="52" t="s">
        <v>77</v>
      </c>
      <c r="F4" s="52" t="s">
        <v>78</v>
      </c>
      <c r="G4" s="52" t="s">
        <v>79</v>
      </c>
      <c r="H4" s="52" t="s">
        <v>80</v>
      </c>
      <c r="I4" s="52" t="s">
        <v>81</v>
      </c>
      <c r="J4" s="53" t="s">
        <v>10</v>
      </c>
      <c r="K4" s="54" t="s">
        <v>13</v>
      </c>
      <c r="L4" s="55" t="s">
        <v>14</v>
      </c>
      <c r="M4" s="56" t="s">
        <v>83</v>
      </c>
    </row>
    <row r="5" spans="1:14">
      <c r="B5" s="4" t="s">
        <v>63</v>
      </c>
      <c r="C5" s="16">
        <v>142114</v>
      </c>
      <c r="D5" s="16">
        <v>31438</v>
      </c>
      <c r="E5" s="16">
        <v>17500</v>
      </c>
      <c r="F5" s="16">
        <v>28733</v>
      </c>
      <c r="G5" s="16">
        <v>23712</v>
      </c>
      <c r="H5" s="16">
        <v>684</v>
      </c>
      <c r="I5" s="16"/>
      <c r="J5" s="6">
        <f t="shared" ref="J5:J17" si="0">SUM(C5:I5)</f>
        <v>244181</v>
      </c>
      <c r="K5" s="7">
        <f>SUM(J5/29)*212</f>
        <v>1785047.3103448278</v>
      </c>
      <c r="L5" s="16">
        <v>12640</v>
      </c>
      <c r="M5" s="11">
        <f>K5/L5</f>
        <v>141.22209733740726</v>
      </c>
      <c r="N5" s="89"/>
    </row>
    <row r="6" spans="1:14">
      <c r="B6" s="4" t="s">
        <v>64</v>
      </c>
      <c r="C6" s="16">
        <v>73227</v>
      </c>
      <c r="D6" s="16">
        <v>1982</v>
      </c>
      <c r="E6" s="16">
        <v>8663</v>
      </c>
      <c r="F6" s="16">
        <v>8861</v>
      </c>
      <c r="G6" s="16">
        <v>18890</v>
      </c>
      <c r="H6" s="16">
        <v>673</v>
      </c>
      <c r="I6" s="16"/>
      <c r="J6" s="6">
        <f t="shared" si="0"/>
        <v>112296</v>
      </c>
      <c r="K6" s="7">
        <f t="shared" ref="K6:K17" si="1">SUM(J6/29)*212</f>
        <v>820922.48275862075</v>
      </c>
      <c r="L6" s="16">
        <f>21295-5954</f>
        <v>15341</v>
      </c>
      <c r="M6" s="11">
        <v>109</v>
      </c>
      <c r="N6" s="89"/>
    </row>
    <row r="7" spans="1:14">
      <c r="B7" s="4" t="s">
        <v>65</v>
      </c>
      <c r="C7" s="16">
        <v>1191</v>
      </c>
      <c r="D7" s="16"/>
      <c r="E7" s="16">
        <v>1070</v>
      </c>
      <c r="F7" s="16">
        <v>10</v>
      </c>
      <c r="G7" s="16">
        <v>576</v>
      </c>
      <c r="H7" s="16"/>
      <c r="I7" s="16"/>
      <c r="J7" s="6">
        <f t="shared" si="0"/>
        <v>2847</v>
      </c>
      <c r="K7" s="7">
        <f t="shared" si="1"/>
        <v>20812.551724137931</v>
      </c>
      <c r="L7" s="16">
        <v>817</v>
      </c>
      <c r="M7" s="11">
        <f t="shared" ref="M7:M8" si="2">K7/L7</f>
        <v>25.474359515468706</v>
      </c>
    </row>
    <row r="8" spans="1:14">
      <c r="B8" s="4" t="s">
        <v>66</v>
      </c>
      <c r="C8" s="16">
        <v>3877</v>
      </c>
      <c r="D8" s="16"/>
      <c r="E8" s="16">
        <v>2409</v>
      </c>
      <c r="F8" s="16">
        <v>2084</v>
      </c>
      <c r="G8" s="16">
        <v>1161</v>
      </c>
      <c r="H8" s="16">
        <v>68</v>
      </c>
      <c r="I8" s="16"/>
      <c r="J8" s="6">
        <f t="shared" si="0"/>
        <v>9599</v>
      </c>
      <c r="K8" s="7">
        <f t="shared" si="1"/>
        <v>70172</v>
      </c>
      <c r="L8" s="16">
        <v>1131</v>
      </c>
      <c r="M8" s="11">
        <f t="shared" si="2"/>
        <v>62.044208664898321</v>
      </c>
    </row>
    <row r="9" spans="1:14">
      <c r="B9" s="4" t="s">
        <v>99</v>
      </c>
      <c r="C9" s="16">
        <v>9171</v>
      </c>
      <c r="D9" s="16">
        <v>72</v>
      </c>
      <c r="E9" s="16">
        <v>702</v>
      </c>
      <c r="F9" s="16">
        <v>485</v>
      </c>
      <c r="G9" s="16">
        <v>1661</v>
      </c>
      <c r="H9" s="16">
        <v>37</v>
      </c>
      <c r="I9" s="16"/>
      <c r="J9" s="6">
        <f t="shared" si="0"/>
        <v>12128</v>
      </c>
      <c r="K9" s="7">
        <f t="shared" si="1"/>
        <v>88659.862068965522</v>
      </c>
      <c r="L9" s="16">
        <v>876</v>
      </c>
      <c r="M9" s="11">
        <f t="shared" ref="M9:M11" si="3">K9/L9</f>
        <v>101.20988820658165</v>
      </c>
    </row>
    <row r="10" spans="1:14">
      <c r="B10" s="4" t="s">
        <v>67</v>
      </c>
      <c r="C10" s="16">
        <v>30412</v>
      </c>
      <c r="D10" s="16">
        <v>14</v>
      </c>
      <c r="E10" s="16">
        <v>13805</v>
      </c>
      <c r="F10" s="16">
        <v>3231</v>
      </c>
      <c r="G10" s="16">
        <v>9478</v>
      </c>
      <c r="H10" s="16">
        <v>614</v>
      </c>
      <c r="I10" s="16"/>
      <c r="J10" s="6">
        <f t="shared" si="0"/>
        <v>57554</v>
      </c>
      <c r="K10" s="7">
        <f t="shared" si="1"/>
        <v>420739.58620689652</v>
      </c>
      <c r="L10" s="16">
        <v>2082</v>
      </c>
      <c r="M10" s="11">
        <v>232</v>
      </c>
    </row>
    <row r="11" spans="1:14">
      <c r="B11" s="4" t="s">
        <v>68</v>
      </c>
      <c r="C11" s="16">
        <v>4561</v>
      </c>
      <c r="D11" s="16"/>
      <c r="E11" s="16">
        <v>1568</v>
      </c>
      <c r="F11" s="16">
        <v>1631</v>
      </c>
      <c r="G11" s="16">
        <v>1672</v>
      </c>
      <c r="H11" s="16"/>
      <c r="I11" s="16"/>
      <c r="J11" s="6">
        <f t="shared" si="0"/>
        <v>9432</v>
      </c>
      <c r="K11" s="7">
        <f t="shared" si="1"/>
        <v>68951.172413793101</v>
      </c>
      <c r="L11" s="16">
        <v>3738</v>
      </c>
      <c r="M11" s="11">
        <f t="shared" si="3"/>
        <v>18.446006531244809</v>
      </c>
    </row>
    <row r="12" spans="1:14">
      <c r="B12" s="4" t="s">
        <v>69</v>
      </c>
      <c r="C12" s="16">
        <v>68248</v>
      </c>
      <c r="D12" s="16">
        <v>40</v>
      </c>
      <c r="E12" s="16">
        <v>46152</v>
      </c>
      <c r="F12" s="16">
        <v>24919</v>
      </c>
      <c r="G12" s="16">
        <v>41383</v>
      </c>
      <c r="H12" s="16">
        <v>700</v>
      </c>
      <c r="I12" s="16"/>
      <c r="J12" s="6">
        <f t="shared" si="0"/>
        <v>181442</v>
      </c>
      <c r="K12" s="7">
        <f t="shared" si="1"/>
        <v>1326403.5862068965</v>
      </c>
      <c r="L12" s="16">
        <v>9506</v>
      </c>
      <c r="M12" s="11">
        <f t="shared" ref="M12:M14" si="4">K12/L12</f>
        <v>139.53330382988602</v>
      </c>
    </row>
    <row r="13" spans="1:14">
      <c r="B13" s="4" t="s">
        <v>70</v>
      </c>
      <c r="C13" s="16">
        <v>432</v>
      </c>
      <c r="D13" s="16"/>
      <c r="E13" s="16">
        <v>215</v>
      </c>
      <c r="F13" s="16"/>
      <c r="G13" s="16">
        <v>354</v>
      </c>
      <c r="H13" s="16"/>
      <c r="I13" s="16"/>
      <c r="J13" s="6">
        <f t="shared" si="0"/>
        <v>1001</v>
      </c>
      <c r="K13" s="7">
        <f t="shared" si="1"/>
        <v>7317.6551724137926</v>
      </c>
      <c r="L13" s="16">
        <v>37</v>
      </c>
      <c r="M13" s="11">
        <v>49</v>
      </c>
    </row>
    <row r="14" spans="1:14">
      <c r="B14" s="4" t="s">
        <v>71</v>
      </c>
      <c r="C14" s="16">
        <v>116</v>
      </c>
      <c r="D14" s="16"/>
      <c r="E14" s="16">
        <v>56</v>
      </c>
      <c r="F14" s="16">
        <v>88</v>
      </c>
      <c r="G14" s="16">
        <v>20</v>
      </c>
      <c r="H14" s="16"/>
      <c r="I14" s="16"/>
      <c r="J14" s="6">
        <f t="shared" si="0"/>
        <v>280</v>
      </c>
      <c r="K14" s="7">
        <f t="shared" si="1"/>
        <v>2046.8965517241379</v>
      </c>
      <c r="L14" s="16">
        <v>23</v>
      </c>
      <c r="M14" s="11">
        <f t="shared" si="4"/>
        <v>88.995502248875567</v>
      </c>
    </row>
    <row r="15" spans="1:14">
      <c r="B15" s="4" t="s">
        <v>72</v>
      </c>
      <c r="C15" s="16">
        <v>3807</v>
      </c>
      <c r="D15" s="16"/>
      <c r="E15" s="16">
        <v>4142</v>
      </c>
      <c r="F15" s="16">
        <v>269</v>
      </c>
      <c r="G15" s="16">
        <v>514</v>
      </c>
      <c r="H15" s="16">
        <v>124</v>
      </c>
      <c r="I15" s="16"/>
      <c r="J15" s="6">
        <f t="shared" si="0"/>
        <v>8856</v>
      </c>
      <c r="K15" s="7">
        <f t="shared" si="1"/>
        <v>64740.413793103442</v>
      </c>
      <c r="L15" s="16">
        <v>1086</v>
      </c>
      <c r="M15" s="11">
        <f t="shared" ref="M15:M17" si="5">K15/L15</f>
        <v>59.613640693465413</v>
      </c>
    </row>
    <row r="16" spans="1:14">
      <c r="A16" s="14"/>
      <c r="B16" s="4" t="s">
        <v>73</v>
      </c>
      <c r="C16" s="16">
        <v>9812</v>
      </c>
      <c r="D16" s="16">
        <v>39</v>
      </c>
      <c r="E16" s="16"/>
      <c r="F16" s="16">
        <v>56</v>
      </c>
      <c r="G16" s="16">
        <v>3232</v>
      </c>
      <c r="H16" s="16">
        <v>28</v>
      </c>
      <c r="I16" s="16"/>
      <c r="J16" s="6">
        <f t="shared" si="0"/>
        <v>13167</v>
      </c>
      <c r="K16" s="7">
        <f t="shared" si="1"/>
        <v>96255.310344827594</v>
      </c>
      <c r="L16" s="16">
        <v>4806</v>
      </c>
      <c r="M16" s="11">
        <f t="shared" si="5"/>
        <v>20.028154462094797</v>
      </c>
    </row>
    <row r="17" spans="2:13">
      <c r="B17" s="4" t="s">
        <v>74</v>
      </c>
      <c r="C17" s="16"/>
      <c r="D17" s="16"/>
      <c r="E17" s="16"/>
      <c r="F17" s="16"/>
      <c r="G17" s="16"/>
      <c r="H17" s="16"/>
      <c r="I17" s="16">
        <v>28706</v>
      </c>
      <c r="J17" s="6">
        <f t="shared" si="0"/>
        <v>28706</v>
      </c>
      <c r="K17" s="7">
        <f t="shared" si="1"/>
        <v>209850.75862068965</v>
      </c>
      <c r="L17" s="16">
        <v>536</v>
      </c>
      <c r="M17" s="11">
        <f t="shared" si="5"/>
        <v>391.51260936695832</v>
      </c>
    </row>
    <row r="18" spans="2:13">
      <c r="C18"/>
      <c r="D18"/>
      <c r="E18" s="17"/>
      <c r="F18" s="17"/>
      <c r="G18" s="17"/>
      <c r="H18" s="17"/>
      <c r="I18" s="17"/>
      <c r="J18" s="13"/>
      <c r="K18" s="13"/>
      <c r="L18" s="18"/>
    </row>
  </sheetData>
  <mergeCells count="2">
    <mergeCell ref="B2:M2"/>
    <mergeCell ref="N5:N6"/>
  </mergeCells>
  <pageMargins left="0.7" right="0.7" top="0.75" bottom="0.75" header="0.3" footer="0.3"/>
  <pageSetup scale="78" orientation="landscape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24"/>
  <sheetViews>
    <sheetView showGridLines="0" zoomScaleNormal="100" workbookViewId="0">
      <selection sqref="A1:XFD1048576"/>
    </sheetView>
  </sheetViews>
  <sheetFormatPr defaultColWidth="10.796875" defaultRowHeight="14.25" customHeight="1"/>
  <cols>
    <col min="1" max="1" width="1.5" style="1" customWidth="1"/>
    <col min="2" max="2" width="50" style="1" customWidth="1"/>
    <col min="3" max="3" width="12" style="3" customWidth="1"/>
    <col min="4" max="4" width="6.19921875" style="1" customWidth="1"/>
    <col min="5" max="6" width="17.796875" style="1" customWidth="1"/>
    <col min="7" max="7" width="21.69921875" style="1" customWidth="1"/>
    <col min="8" max="8" width="20.796875" style="1" hidden="1" customWidth="1"/>
    <col min="9" max="9" width="14.5" style="1" hidden="1" customWidth="1"/>
    <col min="10" max="10" width="4.5" style="1" hidden="1" customWidth="1"/>
    <col min="11" max="11" width="10.796875" style="1" hidden="1" customWidth="1"/>
    <col min="12" max="12" width="11" style="1" customWidth="1"/>
    <col min="13" max="16384" width="10.796875" style="1"/>
  </cols>
  <sheetData>
    <row r="1" spans="2:12" ht="55.05" customHeight="1">
      <c r="B1" s="39" t="s">
        <v>30</v>
      </c>
      <c r="C1" s="45" t="s">
        <v>16</v>
      </c>
      <c r="D1" s="27"/>
      <c r="E1" s="90" t="s">
        <v>85</v>
      </c>
      <c r="F1" s="91"/>
      <c r="G1" s="90" t="s">
        <v>89</v>
      </c>
      <c r="H1" s="91"/>
      <c r="I1" s="28" t="s">
        <v>22</v>
      </c>
      <c r="J1" s="28"/>
      <c r="K1" s="29" t="s">
        <v>29</v>
      </c>
    </row>
    <row r="2" spans="2:12" ht="14.25" customHeight="1">
      <c r="B2" s="2" t="s">
        <v>57</v>
      </c>
      <c r="C2" s="21">
        <v>44100</v>
      </c>
      <c r="E2" s="62" t="s">
        <v>35</v>
      </c>
      <c r="F2" s="61">
        <v>5.52</v>
      </c>
      <c r="G2" s="32">
        <v>5.5233494363929152</v>
      </c>
      <c r="H2" s="31" t="str">
        <f>E2</f>
        <v>1st District</v>
      </c>
      <c r="I2" s="33">
        <v>239</v>
      </c>
      <c r="J2" s="31"/>
      <c r="K2" s="34">
        <v>4</v>
      </c>
    </row>
    <row r="3" spans="2:12" ht="14.25" customHeight="1">
      <c r="B3" s="2" t="s">
        <v>58</v>
      </c>
      <c r="C3" s="21">
        <v>9508</v>
      </c>
      <c r="E3" s="62" t="s">
        <v>36</v>
      </c>
      <c r="F3" s="61">
        <v>0.52</v>
      </c>
      <c r="G3" s="32">
        <v>0.52334943639291465</v>
      </c>
      <c r="H3" s="31" t="str">
        <f t="shared" ref="H3:H23" si="0">E3</f>
        <v>2nd District</v>
      </c>
      <c r="I3" s="33"/>
      <c r="J3" s="31"/>
      <c r="K3" s="35">
        <v>2</v>
      </c>
    </row>
    <row r="4" spans="2:12" ht="14.25" customHeight="1">
      <c r="B4" s="2" t="s">
        <v>59</v>
      </c>
      <c r="C4" s="21">
        <v>14343</v>
      </c>
      <c r="E4" s="62" t="s">
        <v>37</v>
      </c>
      <c r="F4" s="61">
        <v>23.04</v>
      </c>
      <c r="G4" s="32">
        <v>23.035426731078907</v>
      </c>
      <c r="H4" s="31" t="str">
        <f t="shared" ref="H4:H13" si="1">E4</f>
        <v>3rd District</v>
      </c>
      <c r="I4" s="33">
        <v>471</v>
      </c>
      <c r="J4" s="31"/>
      <c r="K4" s="35">
        <v>1</v>
      </c>
    </row>
    <row r="5" spans="2:12" ht="14.25" customHeight="1">
      <c r="B5" s="2" t="s">
        <v>60</v>
      </c>
      <c r="C5" s="21">
        <v>9742</v>
      </c>
      <c r="E5" s="62" t="s">
        <v>38</v>
      </c>
      <c r="F5" s="61">
        <f t="shared" ref="F5:F13" si="2">SUM(I5/29)/K5</f>
        <v>21.778325123152708</v>
      </c>
      <c r="G5" s="32">
        <v>4.1129898013955986</v>
      </c>
      <c r="H5" s="31" t="str">
        <f t="shared" si="1"/>
        <v>4th District</v>
      </c>
      <c r="I5" s="33">
        <v>4421</v>
      </c>
      <c r="J5" s="31"/>
      <c r="K5" s="35">
        <v>7</v>
      </c>
    </row>
    <row r="6" spans="2:12" ht="14.25" customHeight="1">
      <c r="B6" s="2" t="s">
        <v>61</v>
      </c>
      <c r="C6" s="21">
        <v>19569</v>
      </c>
      <c r="E6" s="62" t="s">
        <v>39</v>
      </c>
      <c r="F6" s="61">
        <f t="shared" si="2"/>
        <v>136.37931034482759</v>
      </c>
      <c r="G6" s="32">
        <v>71.89613526570048</v>
      </c>
      <c r="H6" s="31" t="str">
        <f t="shared" si="1"/>
        <v>5th District</v>
      </c>
      <c r="I6" s="33">
        <v>3955</v>
      </c>
      <c r="J6" s="31"/>
      <c r="K6" s="35">
        <v>1</v>
      </c>
    </row>
    <row r="7" spans="2:12" ht="14.25" customHeight="1">
      <c r="B7" s="2" t="s">
        <v>62</v>
      </c>
      <c r="C7" s="21">
        <v>25242</v>
      </c>
      <c r="E7" s="62" t="s">
        <v>40</v>
      </c>
      <c r="F7" s="61">
        <v>34.74</v>
      </c>
      <c r="G7" s="32">
        <v>34.738325281803547</v>
      </c>
      <c r="H7" s="31" t="str">
        <f t="shared" si="1"/>
        <v>6th District</v>
      </c>
      <c r="I7" s="33">
        <v>347</v>
      </c>
      <c r="J7" s="31"/>
      <c r="K7" s="35">
        <v>1</v>
      </c>
    </row>
    <row r="8" spans="2:12" ht="14.25" customHeight="1">
      <c r="B8" s="2" t="s">
        <v>21</v>
      </c>
      <c r="C8" s="21">
        <v>2591</v>
      </c>
      <c r="E8" s="79" t="s">
        <v>41</v>
      </c>
      <c r="F8" s="80">
        <v>23</v>
      </c>
      <c r="G8" s="32">
        <v>3.8345410628019323</v>
      </c>
      <c r="H8" s="31" t="str">
        <f t="shared" si="1"/>
        <v>7th District</v>
      </c>
      <c r="I8" s="33"/>
      <c r="J8" s="31"/>
      <c r="K8" s="35">
        <v>2</v>
      </c>
      <c r="L8" s="1" t="s">
        <v>100</v>
      </c>
    </row>
    <row r="9" spans="2:12" ht="14.25" customHeight="1">
      <c r="B9" s="2" t="s">
        <v>15</v>
      </c>
      <c r="C9" s="21">
        <f>SUM(C2:C8)-C7</f>
        <v>99853</v>
      </c>
      <c r="E9" s="62" t="s">
        <v>42</v>
      </c>
      <c r="F9" s="61">
        <v>4.79</v>
      </c>
      <c r="G9" s="32">
        <v>4.7926731078904998</v>
      </c>
      <c r="H9" s="31" t="str">
        <f t="shared" ref="H9:H10" si="3">E9</f>
        <v>8th District</v>
      </c>
      <c r="I9" s="33">
        <v>239</v>
      </c>
      <c r="J9" s="31"/>
      <c r="K9" s="35">
        <v>5</v>
      </c>
      <c r="L9" s="1" t="s">
        <v>101</v>
      </c>
    </row>
    <row r="10" spans="2:12" ht="14.25" customHeight="1">
      <c r="B10" s="8" t="s">
        <v>18</v>
      </c>
      <c r="C10" s="23">
        <f>SUM(C9/29)/56.5</f>
        <v>60.941714983216357</v>
      </c>
      <c r="E10" s="62" t="s">
        <v>43</v>
      </c>
      <c r="F10" s="61">
        <f t="shared" ref="F10" si="4">SUM(I10/29)/K10</f>
        <v>65.241379310344826</v>
      </c>
      <c r="G10" s="32">
        <v>55.772946859903385</v>
      </c>
      <c r="H10" s="31" t="str">
        <f t="shared" si="3"/>
        <v>9th District</v>
      </c>
      <c r="I10" s="33">
        <v>2838</v>
      </c>
      <c r="J10" s="31"/>
      <c r="K10" s="60">
        <v>1.5</v>
      </c>
    </row>
    <row r="11" spans="2:12" ht="14.25" customHeight="1">
      <c r="C11" s="24"/>
      <c r="E11" s="62" t="s">
        <v>44</v>
      </c>
      <c r="F11" s="61">
        <v>24.49</v>
      </c>
      <c r="G11" s="32">
        <v>24.492753623188406</v>
      </c>
      <c r="H11" s="31" t="str">
        <f t="shared" si="1"/>
        <v>10th District</v>
      </c>
      <c r="I11" s="33">
        <v>475</v>
      </c>
      <c r="J11" s="31"/>
      <c r="K11" s="35">
        <v>1</v>
      </c>
    </row>
    <row r="12" spans="2:12" ht="14.25" customHeight="1">
      <c r="B12" s="9" t="s">
        <v>27</v>
      </c>
      <c r="C12" s="10">
        <f>C7</f>
        <v>25242</v>
      </c>
      <c r="E12" s="62" t="s">
        <v>45</v>
      </c>
      <c r="F12" s="61">
        <f t="shared" si="2"/>
        <v>3.8448275862068964</v>
      </c>
      <c r="G12" s="32">
        <v>3.2316827697262482</v>
      </c>
      <c r="H12" s="31" t="str">
        <f t="shared" si="1"/>
        <v>11th District</v>
      </c>
      <c r="I12" s="33">
        <v>446</v>
      </c>
      <c r="J12" s="31"/>
      <c r="K12" s="35">
        <v>4</v>
      </c>
    </row>
    <row r="13" spans="2:12" ht="14.25" customHeight="1">
      <c r="B13" s="25" t="s">
        <v>17</v>
      </c>
      <c r="C13" s="59">
        <f>SUM(C12/29)/56.5</f>
        <v>15.405553860238022</v>
      </c>
      <c r="E13" s="62" t="s">
        <v>46</v>
      </c>
      <c r="F13" s="61">
        <f t="shared" si="2"/>
        <v>58.724137931034484</v>
      </c>
      <c r="G13" s="32">
        <v>15.656199677938808</v>
      </c>
      <c r="H13" s="31" t="str">
        <f t="shared" si="1"/>
        <v>12th District</v>
      </c>
      <c r="I13" s="33">
        <v>1703</v>
      </c>
      <c r="J13" s="31"/>
      <c r="K13" s="35">
        <v>1</v>
      </c>
    </row>
    <row r="14" spans="2:12" ht="14.25" customHeight="1">
      <c r="B14" s="1" t="s">
        <v>90</v>
      </c>
      <c r="C14" s="3">
        <v>12</v>
      </c>
      <c r="E14" s="62" t="s">
        <v>47</v>
      </c>
      <c r="F14" s="61">
        <f t="shared" ref="F14:F23" si="5">SUM(I14/29)/K14</f>
        <v>6.886206896551724</v>
      </c>
      <c r="G14" s="32">
        <v>2.2681159420289854</v>
      </c>
      <c r="H14" s="31" t="str">
        <f t="shared" si="0"/>
        <v>13th District</v>
      </c>
      <c r="I14" s="33">
        <v>1997</v>
      </c>
      <c r="J14" s="31"/>
      <c r="K14" s="35">
        <v>10</v>
      </c>
    </row>
    <row r="15" spans="2:12" ht="14.25" customHeight="1">
      <c r="E15" s="62" t="s">
        <v>48</v>
      </c>
      <c r="F15" s="61">
        <v>7.5</v>
      </c>
      <c r="G15" s="32">
        <v>7.5040257648953297</v>
      </c>
      <c r="H15" s="31" t="str">
        <f t="shared" si="0"/>
        <v>14th District</v>
      </c>
      <c r="I15" s="33"/>
      <c r="J15" s="31"/>
      <c r="K15" s="35">
        <v>1</v>
      </c>
    </row>
    <row r="16" spans="2:12" ht="14.25" customHeight="1">
      <c r="E16" s="79" t="s">
        <v>49</v>
      </c>
      <c r="F16" s="80">
        <v>106</v>
      </c>
      <c r="G16" s="32">
        <v>0</v>
      </c>
      <c r="H16" s="31" t="str">
        <f t="shared" si="0"/>
        <v>15th District</v>
      </c>
      <c r="I16" s="33"/>
      <c r="J16" s="31"/>
      <c r="K16" s="35">
        <v>1</v>
      </c>
    </row>
    <row r="17" spans="5:11" ht="14.25" customHeight="1">
      <c r="E17" s="62" t="s">
        <v>50</v>
      </c>
      <c r="F17" s="61">
        <f t="shared" si="5"/>
        <v>61.206896551724135</v>
      </c>
      <c r="G17" s="32">
        <v>39.543075684380035</v>
      </c>
      <c r="H17" s="31" t="str">
        <f t="shared" si="0"/>
        <v>16th District</v>
      </c>
      <c r="I17" s="33">
        <v>3550</v>
      </c>
      <c r="J17" s="31"/>
      <c r="K17" s="35">
        <v>2</v>
      </c>
    </row>
    <row r="18" spans="5:11" ht="14.25" customHeight="1">
      <c r="E18" s="62" t="s">
        <v>51</v>
      </c>
      <c r="F18" s="61">
        <v>53.46</v>
      </c>
      <c r="G18" s="32">
        <v>53.4621578099839</v>
      </c>
      <c r="H18" s="31" t="str">
        <f t="shared" si="0"/>
        <v>17th District</v>
      </c>
      <c r="I18" s="33"/>
      <c r="J18" s="31"/>
      <c r="K18" s="35">
        <v>1</v>
      </c>
    </row>
    <row r="19" spans="5:11" ht="14.25" customHeight="1">
      <c r="E19" s="62" t="s">
        <v>52</v>
      </c>
      <c r="F19" s="61">
        <f t="shared" si="5"/>
        <v>1.9103448275862067</v>
      </c>
      <c r="G19" s="32">
        <v>1.1714975845410629</v>
      </c>
      <c r="H19" s="31" t="str">
        <f t="shared" si="0"/>
        <v>18th District</v>
      </c>
      <c r="I19" s="33">
        <v>277</v>
      </c>
      <c r="J19" s="31"/>
      <c r="K19" s="35">
        <v>5</v>
      </c>
    </row>
    <row r="20" spans="5:11" ht="14.25" customHeight="1">
      <c r="E20" s="79" t="s">
        <v>53</v>
      </c>
      <c r="F20" s="80">
        <v>15</v>
      </c>
      <c r="G20" s="32">
        <v>0</v>
      </c>
      <c r="H20" s="31" t="str">
        <f t="shared" si="0"/>
        <v>19th District</v>
      </c>
      <c r="I20" s="33"/>
      <c r="J20" s="31"/>
      <c r="K20" s="35">
        <v>1</v>
      </c>
    </row>
    <row r="21" spans="5:11" ht="12.75" customHeight="1">
      <c r="E21" s="62" t="s">
        <v>54</v>
      </c>
      <c r="F21" s="61">
        <f t="shared" si="5"/>
        <v>19.396551724137932</v>
      </c>
      <c r="G21" s="32">
        <v>16.179549114331724</v>
      </c>
      <c r="H21" s="31" t="str">
        <f t="shared" si="0"/>
        <v>20th District</v>
      </c>
      <c r="I21" s="33">
        <v>1125</v>
      </c>
      <c r="J21" s="31"/>
      <c r="K21" s="35">
        <v>2</v>
      </c>
    </row>
    <row r="22" spans="5:11" ht="14.25" customHeight="1">
      <c r="E22" s="62" t="s">
        <v>55</v>
      </c>
      <c r="F22" s="61">
        <v>0.89</v>
      </c>
      <c r="G22" s="32">
        <v>0.88566827697262485</v>
      </c>
      <c r="H22" s="31" t="str">
        <f t="shared" ref="H22" si="6">E22</f>
        <v>21st District</v>
      </c>
      <c r="I22" s="33"/>
      <c r="J22" s="31"/>
      <c r="K22" s="35">
        <v>2</v>
      </c>
    </row>
    <row r="23" spans="5:11" ht="14.25" customHeight="1">
      <c r="E23" s="62" t="s">
        <v>56</v>
      </c>
      <c r="F23" s="61">
        <f t="shared" si="5"/>
        <v>108.93103448275862</v>
      </c>
      <c r="G23" s="32">
        <v>14.162640901771336</v>
      </c>
      <c r="H23" s="31" t="str">
        <f t="shared" si="0"/>
        <v>22nd District</v>
      </c>
      <c r="I23" s="33">
        <v>3159</v>
      </c>
      <c r="J23" s="31"/>
      <c r="K23" s="35">
        <v>1</v>
      </c>
    </row>
    <row r="24" spans="5:11" ht="14.25" customHeight="1">
      <c r="E24" s="36"/>
      <c r="F24" s="37"/>
      <c r="G24" s="37"/>
      <c r="H24" s="31"/>
      <c r="I24" s="33"/>
      <c r="J24" s="31"/>
      <c r="K24" s="60">
        <f>SUM(K2:K23)</f>
        <v>56.5</v>
      </c>
    </row>
  </sheetData>
  <mergeCells count="2">
    <mergeCell ref="E1:F1"/>
    <mergeCell ref="G1:H1"/>
  </mergeCells>
  <phoneticPr fontId="11" type="noConversion"/>
  <pageMargins left="0.7" right="0.7" top="0.75" bottom="0.75" header="0.3" footer="0.3"/>
  <pageSetup scale="88" orientation="landscape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F0B0-F3E2-466F-B1D0-A66AE4FDC30F}">
  <sheetPr>
    <tabColor rgb="FF00B050"/>
    <pageSetUpPr fitToPage="1"/>
  </sheetPr>
  <dimension ref="A1:AB28"/>
  <sheetViews>
    <sheetView showGridLines="0" tabSelected="1" zoomScale="120" zoomScaleNormal="12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11" defaultRowHeight="15.6"/>
  <cols>
    <col min="1" max="1" width="35.5" customWidth="1"/>
    <col min="2" max="2" width="8.5" customWidth="1"/>
    <col min="3" max="6" width="9.796875" customWidth="1"/>
    <col min="7" max="7" width="10.5" customWidth="1"/>
    <col min="8" max="24" width="9.796875" customWidth="1"/>
    <col min="26" max="26" width="0" hidden="1" customWidth="1"/>
    <col min="27" max="27" width="14" hidden="1" customWidth="1"/>
  </cols>
  <sheetData>
    <row r="1" spans="1:28" ht="16.2" thickBot="1">
      <c r="A1" s="92" t="s">
        <v>104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4"/>
    </row>
    <row r="2" spans="1:28">
      <c r="A2" s="95" t="s">
        <v>26</v>
      </c>
      <c r="B2" s="58"/>
      <c r="C2" s="97" t="s">
        <v>86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41"/>
    </row>
    <row r="3" spans="1:28" s="14" customFormat="1" ht="49.95" customHeight="1">
      <c r="A3" s="96"/>
      <c r="B3" s="15" t="s">
        <v>34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5" t="s">
        <v>42</v>
      </c>
      <c r="K3" s="15" t="s">
        <v>43</v>
      </c>
      <c r="L3" s="15" t="s">
        <v>44</v>
      </c>
      <c r="M3" s="15" t="s">
        <v>45</v>
      </c>
      <c r="N3" s="15" t="s">
        <v>46</v>
      </c>
      <c r="O3" s="15" t="s">
        <v>47</v>
      </c>
      <c r="P3" s="15" t="s">
        <v>48</v>
      </c>
      <c r="Q3" s="15" t="s">
        <v>49</v>
      </c>
      <c r="R3" s="15" t="s">
        <v>50</v>
      </c>
      <c r="S3" s="15" t="s">
        <v>51</v>
      </c>
      <c r="T3" s="15" t="s">
        <v>52</v>
      </c>
      <c r="U3" s="15" t="s">
        <v>53</v>
      </c>
      <c r="V3" s="15" t="s">
        <v>54</v>
      </c>
      <c r="W3" s="15" t="s">
        <v>55</v>
      </c>
      <c r="X3" s="15" t="s">
        <v>56</v>
      </c>
      <c r="Y3" s="30" t="s">
        <v>23</v>
      </c>
    </row>
    <row r="4" spans="1:28" ht="15" customHeight="1">
      <c r="A4" s="4" t="s">
        <v>63</v>
      </c>
      <c r="B4" s="22">
        <f>ROUND('Case WT Development All '!M5,0)</f>
        <v>141</v>
      </c>
      <c r="C4" s="5">
        <v>976</v>
      </c>
      <c r="D4" s="5">
        <v>447</v>
      </c>
      <c r="E4" s="5">
        <v>286</v>
      </c>
      <c r="F4" s="5">
        <v>1592</v>
      </c>
      <c r="G4" s="5">
        <v>196</v>
      </c>
      <c r="H4" s="5">
        <v>200</v>
      </c>
      <c r="I4" s="5">
        <v>203</v>
      </c>
      <c r="J4" s="5">
        <v>1435</v>
      </c>
      <c r="K4" s="5">
        <v>223</v>
      </c>
      <c r="L4" s="5">
        <v>135</v>
      </c>
      <c r="M4" s="5">
        <v>1263</v>
      </c>
      <c r="N4" s="5">
        <v>158</v>
      </c>
      <c r="O4" s="5">
        <v>3400</v>
      </c>
      <c r="P4" s="5">
        <v>77</v>
      </c>
      <c r="Q4" s="5">
        <v>79</v>
      </c>
      <c r="R4" s="5">
        <v>193</v>
      </c>
      <c r="S4" s="5">
        <v>90</v>
      </c>
      <c r="T4" s="5">
        <v>671</v>
      </c>
      <c r="U4" s="5">
        <v>148</v>
      </c>
      <c r="V4" s="5">
        <v>557</v>
      </c>
      <c r="W4" s="5">
        <v>381</v>
      </c>
      <c r="X4" s="5">
        <v>182</v>
      </c>
      <c r="Y4" s="19">
        <f>SUM(C4:X4)</f>
        <v>12892</v>
      </c>
      <c r="Z4">
        <v>346</v>
      </c>
      <c r="AA4">
        <v>274</v>
      </c>
      <c r="AB4" s="85"/>
    </row>
    <row r="5" spans="1:28" ht="15" customHeight="1">
      <c r="A5" s="4" t="s">
        <v>102</v>
      </c>
      <c r="B5" s="22">
        <f>ROUND('Case WT Development All '!M6,0)</f>
        <v>109</v>
      </c>
      <c r="C5" s="5">
        <v>1216</v>
      </c>
      <c r="D5" s="5">
        <v>375</v>
      </c>
      <c r="E5" s="5">
        <v>241</v>
      </c>
      <c r="F5" s="5">
        <v>1571</v>
      </c>
      <c r="G5" s="5">
        <v>322</v>
      </c>
      <c r="H5" s="5">
        <v>246</v>
      </c>
      <c r="I5" s="5">
        <v>221</v>
      </c>
      <c r="J5" s="5">
        <v>612</v>
      </c>
      <c r="K5" s="5">
        <v>208</v>
      </c>
      <c r="L5" s="5">
        <v>155</v>
      </c>
      <c r="M5" s="5">
        <v>1519</v>
      </c>
      <c r="N5" s="5">
        <v>175</v>
      </c>
      <c r="O5" s="5">
        <v>1450</v>
      </c>
      <c r="P5" s="5">
        <v>105</v>
      </c>
      <c r="Q5" s="5">
        <v>119</v>
      </c>
      <c r="R5" s="5">
        <v>209</v>
      </c>
      <c r="S5" s="5">
        <v>122</v>
      </c>
      <c r="T5" s="5">
        <v>1323</v>
      </c>
      <c r="U5" s="5">
        <v>213</v>
      </c>
      <c r="V5" s="5">
        <v>333</v>
      </c>
      <c r="W5" s="5">
        <v>485</v>
      </c>
      <c r="X5" s="5">
        <v>272</v>
      </c>
      <c r="Y5" s="19">
        <f t="shared" ref="Y5:Y16" si="0">SUM(C5:X5)</f>
        <v>11492</v>
      </c>
      <c r="Z5">
        <v>721</v>
      </c>
      <c r="AA5">
        <v>460</v>
      </c>
    </row>
    <row r="6" spans="1:28" ht="15" customHeight="1">
      <c r="A6" s="4" t="s">
        <v>65</v>
      </c>
      <c r="B6" s="22">
        <f>ROUND('Case WT Development All '!M7,0)</f>
        <v>25</v>
      </c>
      <c r="C6" s="5">
        <v>46</v>
      </c>
      <c r="D6" s="5">
        <v>31</v>
      </c>
      <c r="E6" s="5">
        <v>14</v>
      </c>
      <c r="F6" s="5">
        <v>51</v>
      </c>
      <c r="G6" s="5">
        <v>20</v>
      </c>
      <c r="H6" s="5">
        <v>5</v>
      </c>
      <c r="I6" s="5">
        <v>10</v>
      </c>
      <c r="J6" s="5">
        <v>58</v>
      </c>
      <c r="K6" s="5">
        <v>18</v>
      </c>
      <c r="L6" s="5">
        <v>11</v>
      </c>
      <c r="M6" s="5">
        <v>63</v>
      </c>
      <c r="N6" s="5">
        <v>13</v>
      </c>
      <c r="O6" s="5">
        <v>139</v>
      </c>
      <c r="P6" s="5">
        <v>7</v>
      </c>
      <c r="Q6" s="5">
        <v>8</v>
      </c>
      <c r="R6" s="5">
        <v>26</v>
      </c>
      <c r="S6" s="5">
        <v>11</v>
      </c>
      <c r="T6" s="5">
        <v>46</v>
      </c>
      <c r="U6" s="5">
        <v>11</v>
      </c>
      <c r="V6" s="5">
        <v>33</v>
      </c>
      <c r="W6" s="5">
        <v>26</v>
      </c>
      <c r="X6" s="5">
        <v>18</v>
      </c>
      <c r="Y6" s="19">
        <f t="shared" si="0"/>
        <v>665</v>
      </c>
      <c r="Z6">
        <v>32</v>
      </c>
      <c r="AA6">
        <v>22</v>
      </c>
    </row>
    <row r="7" spans="1:28" ht="15" customHeight="1">
      <c r="A7" s="4" t="s">
        <v>66</v>
      </c>
      <c r="B7" s="22">
        <f>ROUND('Case WT Development All '!M8,0)</f>
        <v>62</v>
      </c>
      <c r="C7" s="5">
        <v>68</v>
      </c>
      <c r="D7" s="5">
        <v>30</v>
      </c>
      <c r="E7" s="5">
        <v>30</v>
      </c>
      <c r="F7" s="5">
        <v>157</v>
      </c>
      <c r="G7" s="5">
        <v>20</v>
      </c>
      <c r="H7" s="5">
        <v>21</v>
      </c>
      <c r="I7" s="5">
        <v>11</v>
      </c>
      <c r="J7" s="5">
        <v>67</v>
      </c>
      <c r="K7" s="5">
        <v>22</v>
      </c>
      <c r="L7" s="5">
        <v>15</v>
      </c>
      <c r="M7" s="5">
        <v>158</v>
      </c>
      <c r="N7" s="5">
        <v>33</v>
      </c>
      <c r="O7" s="5">
        <v>210</v>
      </c>
      <c r="P7" s="5">
        <v>7</v>
      </c>
      <c r="Q7" s="5">
        <v>18</v>
      </c>
      <c r="R7" s="5">
        <v>19</v>
      </c>
      <c r="S7" s="5">
        <v>26</v>
      </c>
      <c r="T7" s="5">
        <v>70</v>
      </c>
      <c r="U7" s="5">
        <v>18</v>
      </c>
      <c r="V7" s="5">
        <v>56</v>
      </c>
      <c r="W7" s="5">
        <v>53</v>
      </c>
      <c r="X7" s="5">
        <v>24</v>
      </c>
      <c r="Y7" s="19">
        <f t="shared" si="0"/>
        <v>1133</v>
      </c>
      <c r="Z7">
        <v>49</v>
      </c>
      <c r="AA7">
        <v>49</v>
      </c>
    </row>
    <row r="8" spans="1:28" ht="15" customHeight="1">
      <c r="A8" s="4" t="s">
        <v>99</v>
      </c>
      <c r="B8" s="22">
        <f>ROUND('Case WT Development All '!M9,0)</f>
        <v>101</v>
      </c>
      <c r="C8" s="5">
        <v>63</v>
      </c>
      <c r="D8" s="5">
        <v>48</v>
      </c>
      <c r="E8" s="5">
        <v>4</v>
      </c>
      <c r="F8" s="5">
        <v>118</v>
      </c>
      <c r="G8" s="5">
        <v>8</v>
      </c>
      <c r="H8" s="5">
        <v>15</v>
      </c>
      <c r="I8" s="5">
        <v>8</v>
      </c>
      <c r="J8" s="5">
        <v>252</v>
      </c>
      <c r="K8" s="5">
        <v>14</v>
      </c>
      <c r="L8" s="5">
        <v>4</v>
      </c>
      <c r="M8" s="5">
        <v>69</v>
      </c>
      <c r="N8" s="5">
        <v>10</v>
      </c>
      <c r="O8" s="5">
        <v>244</v>
      </c>
      <c r="P8" s="5">
        <v>10</v>
      </c>
      <c r="Q8" s="5">
        <v>5</v>
      </c>
      <c r="R8" s="5">
        <v>20</v>
      </c>
      <c r="S8" s="5">
        <v>14</v>
      </c>
      <c r="T8" s="5">
        <v>31</v>
      </c>
      <c r="U8" s="5">
        <v>5</v>
      </c>
      <c r="V8" s="5">
        <v>10</v>
      </c>
      <c r="W8" s="5">
        <v>14</v>
      </c>
      <c r="X8" s="5">
        <v>14</v>
      </c>
      <c r="Y8" s="19">
        <f t="shared" si="0"/>
        <v>980</v>
      </c>
      <c r="Z8">
        <v>8</v>
      </c>
      <c r="AA8">
        <v>12</v>
      </c>
    </row>
    <row r="9" spans="1:28" ht="15" customHeight="1">
      <c r="A9" s="4" t="s">
        <v>67</v>
      </c>
      <c r="B9" s="22">
        <f>ROUND('Case WT Development All '!M10,0)</f>
        <v>232</v>
      </c>
      <c r="C9" s="5">
        <v>75</v>
      </c>
      <c r="D9" s="5">
        <v>74</v>
      </c>
      <c r="E9" s="5">
        <v>15</v>
      </c>
      <c r="F9" s="5">
        <v>92</v>
      </c>
      <c r="G9" s="5">
        <v>30</v>
      </c>
      <c r="H9" s="5">
        <v>12</v>
      </c>
      <c r="I9" s="5">
        <v>24</v>
      </c>
      <c r="J9" s="5">
        <v>216</v>
      </c>
      <c r="K9" s="5">
        <v>85</v>
      </c>
      <c r="L9" s="5">
        <v>47</v>
      </c>
      <c r="M9" s="5">
        <v>72</v>
      </c>
      <c r="N9" s="5">
        <v>79</v>
      </c>
      <c r="O9" s="5">
        <v>372</v>
      </c>
      <c r="P9" s="5">
        <v>20</v>
      </c>
      <c r="Q9" s="5">
        <v>2</v>
      </c>
      <c r="R9" s="5">
        <v>35</v>
      </c>
      <c r="S9" s="5">
        <v>17</v>
      </c>
      <c r="T9" s="5">
        <v>57</v>
      </c>
      <c r="U9" s="5">
        <v>17</v>
      </c>
      <c r="V9" s="5">
        <v>15</v>
      </c>
      <c r="W9" s="5">
        <v>19</v>
      </c>
      <c r="X9" s="5">
        <v>39</v>
      </c>
      <c r="Y9" s="19">
        <f t="shared" si="0"/>
        <v>1414</v>
      </c>
      <c r="Z9">
        <v>38</v>
      </c>
      <c r="AA9">
        <v>45</v>
      </c>
    </row>
    <row r="10" spans="1:28" ht="15" customHeight="1">
      <c r="A10" s="4" t="s">
        <v>68</v>
      </c>
      <c r="B10" s="22">
        <f>ROUND('Case WT Development All '!M11,0)</f>
        <v>18</v>
      </c>
      <c r="C10" s="5">
        <v>251</v>
      </c>
      <c r="D10" s="5">
        <v>174</v>
      </c>
      <c r="E10" s="5">
        <v>81</v>
      </c>
      <c r="F10" s="5">
        <v>342</v>
      </c>
      <c r="G10" s="5">
        <v>146</v>
      </c>
      <c r="H10" s="5">
        <v>93</v>
      </c>
      <c r="I10" s="5">
        <v>159</v>
      </c>
      <c r="J10" s="5">
        <v>336</v>
      </c>
      <c r="K10" s="5">
        <v>133</v>
      </c>
      <c r="L10" s="5">
        <v>95</v>
      </c>
      <c r="M10" s="5">
        <v>400</v>
      </c>
      <c r="N10" s="5">
        <v>111</v>
      </c>
      <c r="O10" s="5">
        <v>452</v>
      </c>
      <c r="P10" s="5">
        <v>69</v>
      </c>
      <c r="Q10" s="5">
        <v>172</v>
      </c>
      <c r="R10" s="5">
        <v>136</v>
      </c>
      <c r="S10" s="5">
        <v>82</v>
      </c>
      <c r="T10" s="5">
        <v>244</v>
      </c>
      <c r="U10" s="5">
        <v>150</v>
      </c>
      <c r="V10" s="5">
        <v>174</v>
      </c>
      <c r="W10" s="5">
        <v>143</v>
      </c>
      <c r="X10" s="5">
        <v>114</v>
      </c>
      <c r="Y10" s="19">
        <f t="shared" si="0"/>
        <v>4057</v>
      </c>
      <c r="Z10">
        <v>174</v>
      </c>
      <c r="AA10">
        <v>121</v>
      </c>
    </row>
    <row r="11" spans="1:28" ht="15" customHeight="1">
      <c r="A11" s="4" t="s">
        <v>69</v>
      </c>
      <c r="B11" s="22">
        <f>ROUND('Case WT Development All '!M12,0)</f>
        <v>140</v>
      </c>
      <c r="C11" s="5">
        <v>1078</v>
      </c>
      <c r="D11" s="5">
        <v>262</v>
      </c>
      <c r="E11" s="5">
        <v>145</v>
      </c>
      <c r="F11" s="5">
        <v>1423</v>
      </c>
      <c r="G11" s="5">
        <v>186</v>
      </c>
      <c r="H11" s="5">
        <v>192</v>
      </c>
      <c r="I11" s="5">
        <v>131</v>
      </c>
      <c r="J11" s="5">
        <v>667</v>
      </c>
      <c r="K11" s="5">
        <v>131</v>
      </c>
      <c r="L11" s="5">
        <v>126</v>
      </c>
      <c r="M11" s="5">
        <v>1022</v>
      </c>
      <c r="N11" s="5">
        <v>170</v>
      </c>
      <c r="O11" s="5">
        <v>1758</v>
      </c>
      <c r="P11" s="5">
        <v>65</v>
      </c>
      <c r="Q11" s="5">
        <v>55</v>
      </c>
      <c r="R11" s="5">
        <v>169</v>
      </c>
      <c r="S11" s="5">
        <v>134</v>
      </c>
      <c r="T11" s="5">
        <v>1016</v>
      </c>
      <c r="U11" s="5">
        <v>207</v>
      </c>
      <c r="V11" s="5">
        <v>197</v>
      </c>
      <c r="W11" s="5">
        <v>382</v>
      </c>
      <c r="X11" s="5">
        <v>118</v>
      </c>
      <c r="Y11" s="19">
        <f t="shared" si="0"/>
        <v>9634</v>
      </c>
      <c r="Z11">
        <v>306</v>
      </c>
      <c r="AA11">
        <v>136</v>
      </c>
    </row>
    <row r="12" spans="1:28" ht="15" customHeight="1">
      <c r="A12" s="4" t="s">
        <v>70</v>
      </c>
      <c r="B12" s="22">
        <f>ROUND('Case WT Development All '!M13,0)</f>
        <v>49</v>
      </c>
      <c r="C12" s="5">
        <v>2</v>
      </c>
      <c r="D12" s="5">
        <v>0</v>
      </c>
      <c r="E12" s="5">
        <v>1</v>
      </c>
      <c r="F12" s="5">
        <v>5</v>
      </c>
      <c r="G12" s="5">
        <v>2</v>
      </c>
      <c r="H12" s="5">
        <v>0</v>
      </c>
      <c r="I12" s="5">
        <v>1</v>
      </c>
      <c r="J12" s="5">
        <v>0</v>
      </c>
      <c r="K12" s="5">
        <v>1</v>
      </c>
      <c r="L12" s="5">
        <v>1</v>
      </c>
      <c r="M12" s="5">
        <v>1</v>
      </c>
      <c r="N12" s="5">
        <v>0</v>
      </c>
      <c r="O12" s="5">
        <v>12</v>
      </c>
      <c r="P12" s="5">
        <v>1</v>
      </c>
      <c r="Q12" s="5">
        <v>0</v>
      </c>
      <c r="R12" s="5">
        <v>0</v>
      </c>
      <c r="S12" s="5">
        <v>0</v>
      </c>
      <c r="T12" s="5">
        <v>1</v>
      </c>
      <c r="U12" s="5">
        <v>0</v>
      </c>
      <c r="V12" s="5">
        <v>1</v>
      </c>
      <c r="W12" s="5">
        <v>1</v>
      </c>
      <c r="X12" s="5">
        <v>0</v>
      </c>
      <c r="Y12" s="19">
        <f t="shared" si="0"/>
        <v>30</v>
      </c>
      <c r="Z12">
        <v>0</v>
      </c>
      <c r="AA12">
        <v>0</v>
      </c>
    </row>
    <row r="13" spans="1:28" ht="15" customHeight="1">
      <c r="A13" s="4" t="s">
        <v>71</v>
      </c>
      <c r="B13" s="22">
        <f>ROUND('Case WT Development All '!M14,0)</f>
        <v>89</v>
      </c>
      <c r="C13" s="5">
        <v>0</v>
      </c>
      <c r="D13" s="5">
        <v>0</v>
      </c>
      <c r="E13" s="5">
        <v>2</v>
      </c>
      <c r="F13" s="5">
        <v>4</v>
      </c>
      <c r="G13" s="5">
        <v>6</v>
      </c>
      <c r="H13" s="5">
        <v>0</v>
      </c>
      <c r="I13" s="5">
        <v>0</v>
      </c>
      <c r="J13" s="5">
        <v>4</v>
      </c>
      <c r="K13" s="5">
        <v>0</v>
      </c>
      <c r="L13" s="5">
        <v>0</v>
      </c>
      <c r="M13" s="5">
        <v>0</v>
      </c>
      <c r="N13" s="5">
        <v>2</v>
      </c>
      <c r="O13" s="5">
        <v>3</v>
      </c>
      <c r="P13" s="5">
        <v>0</v>
      </c>
      <c r="Q13" s="5">
        <v>0</v>
      </c>
      <c r="R13" s="5">
        <v>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19">
        <f t="shared" si="0"/>
        <v>22</v>
      </c>
      <c r="Z13">
        <v>0</v>
      </c>
      <c r="AA13">
        <v>0</v>
      </c>
    </row>
    <row r="14" spans="1:28" ht="15" customHeight="1">
      <c r="A14" s="4" t="s">
        <v>72</v>
      </c>
      <c r="B14" s="22">
        <f>ROUND('Case WT Development All '!M15,0)</f>
        <v>60</v>
      </c>
      <c r="C14" s="5">
        <v>61</v>
      </c>
      <c r="D14" s="5">
        <v>100</v>
      </c>
      <c r="E14" s="5">
        <v>154</v>
      </c>
      <c r="F14" s="5">
        <v>233</v>
      </c>
      <c r="G14" s="5">
        <v>6</v>
      </c>
      <c r="H14" s="5">
        <v>11</v>
      </c>
      <c r="I14" s="5">
        <v>12</v>
      </c>
      <c r="J14" s="5">
        <v>17</v>
      </c>
      <c r="K14" s="5">
        <v>2</v>
      </c>
      <c r="L14" s="5">
        <v>78</v>
      </c>
      <c r="M14" s="5">
        <v>38</v>
      </c>
      <c r="N14" s="5">
        <v>10</v>
      </c>
      <c r="O14" s="5">
        <v>97</v>
      </c>
      <c r="P14" s="5">
        <v>0</v>
      </c>
      <c r="Q14" s="5">
        <v>3</v>
      </c>
      <c r="R14" s="5">
        <v>13</v>
      </c>
      <c r="S14" s="5">
        <v>5</v>
      </c>
      <c r="T14" s="5">
        <v>65</v>
      </c>
      <c r="U14" s="5">
        <v>3</v>
      </c>
      <c r="V14" s="5">
        <v>20</v>
      </c>
      <c r="W14" s="5">
        <v>34</v>
      </c>
      <c r="X14" s="5">
        <v>2</v>
      </c>
      <c r="Y14" s="19">
        <f t="shared" si="0"/>
        <v>964</v>
      </c>
      <c r="Z14">
        <v>18</v>
      </c>
      <c r="AA14">
        <v>2</v>
      </c>
    </row>
    <row r="15" spans="1:28" ht="15" customHeight="1">
      <c r="A15" s="4" t="s">
        <v>73</v>
      </c>
      <c r="B15" s="22">
        <f>ROUND('Case WT Development All '!M16,0)</f>
        <v>20</v>
      </c>
      <c r="C15" s="5">
        <v>273</v>
      </c>
      <c r="D15" s="5">
        <v>206</v>
      </c>
      <c r="E15" s="5">
        <v>63</v>
      </c>
      <c r="F15" s="5">
        <v>895</v>
      </c>
      <c r="G15" s="5">
        <v>73</v>
      </c>
      <c r="H15" s="5">
        <v>108</v>
      </c>
      <c r="I15" s="5">
        <v>190</v>
      </c>
      <c r="J15" s="5">
        <v>926</v>
      </c>
      <c r="K15" s="5">
        <v>60</v>
      </c>
      <c r="L15" s="5">
        <v>78</v>
      </c>
      <c r="M15" s="5">
        <v>424</v>
      </c>
      <c r="N15" s="5">
        <v>47</v>
      </c>
      <c r="O15" s="5">
        <v>1119</v>
      </c>
      <c r="P15" s="5">
        <v>36</v>
      </c>
      <c r="Q15" s="5">
        <v>24</v>
      </c>
      <c r="R15" s="5">
        <v>101</v>
      </c>
      <c r="S15" s="5">
        <v>67</v>
      </c>
      <c r="T15" s="5">
        <v>380</v>
      </c>
      <c r="U15" s="5">
        <v>60</v>
      </c>
      <c r="V15" s="5">
        <v>156</v>
      </c>
      <c r="W15" s="5">
        <v>141</v>
      </c>
      <c r="X15" s="5">
        <v>70</v>
      </c>
      <c r="Y15" s="19">
        <f t="shared" si="0"/>
        <v>5497</v>
      </c>
      <c r="Z15">
        <v>65</v>
      </c>
      <c r="AA15">
        <v>62</v>
      </c>
    </row>
    <row r="16" spans="1:28" ht="15" customHeight="1">
      <c r="A16" s="4" t="s">
        <v>74</v>
      </c>
      <c r="B16" s="22">
        <f>ROUND('Case WT Development All '!M17,0)</f>
        <v>392</v>
      </c>
      <c r="C16" s="5">
        <v>39</v>
      </c>
      <c r="D16" s="5">
        <v>32</v>
      </c>
      <c r="E16" s="5">
        <v>0</v>
      </c>
      <c r="F16" s="5">
        <v>69</v>
      </c>
      <c r="G16" s="5">
        <v>0</v>
      </c>
      <c r="H16" s="5">
        <v>14</v>
      </c>
      <c r="I16" s="5">
        <v>32</v>
      </c>
      <c r="J16" s="5">
        <v>62</v>
      </c>
      <c r="K16" s="5">
        <v>17</v>
      </c>
      <c r="L16" s="5">
        <v>0</v>
      </c>
      <c r="M16" s="5">
        <v>12</v>
      </c>
      <c r="N16" s="5">
        <v>46</v>
      </c>
      <c r="O16" s="5">
        <v>204</v>
      </c>
      <c r="P16" s="5">
        <v>0</v>
      </c>
      <c r="Q16" s="5">
        <v>0</v>
      </c>
      <c r="R16" s="5">
        <v>11</v>
      </c>
      <c r="S16" s="5">
        <v>0</v>
      </c>
      <c r="T16" s="5">
        <v>21</v>
      </c>
      <c r="U16" s="5">
        <v>12</v>
      </c>
      <c r="V16" s="5">
        <v>17</v>
      </c>
      <c r="W16" s="5">
        <v>19</v>
      </c>
      <c r="X16" s="5">
        <v>0</v>
      </c>
      <c r="Y16" s="19">
        <f t="shared" si="0"/>
        <v>607</v>
      </c>
      <c r="Z16" s="12">
        <v>1412.5833333333333</v>
      </c>
      <c r="AA16">
        <f>SUM(Y16/12)</f>
        <v>50.583333333333336</v>
      </c>
    </row>
    <row r="17" spans="1:27">
      <c r="A17" s="4" t="s">
        <v>25</v>
      </c>
      <c r="B17" s="5"/>
      <c r="C17" s="5">
        <f t="shared" ref="C17:Y17" si="1">SUM(C4:C16)</f>
        <v>4148</v>
      </c>
      <c r="D17" s="5">
        <f t="shared" si="1"/>
        <v>1779</v>
      </c>
      <c r="E17" s="5">
        <f t="shared" si="1"/>
        <v>1036</v>
      </c>
      <c r="F17" s="5">
        <f t="shared" si="1"/>
        <v>6552</v>
      </c>
      <c r="G17" s="5">
        <f t="shared" si="1"/>
        <v>1015</v>
      </c>
      <c r="H17" s="5">
        <f t="shared" si="1"/>
        <v>917</v>
      </c>
      <c r="I17" s="5">
        <f t="shared" si="1"/>
        <v>1002</v>
      </c>
      <c r="J17" s="5">
        <f t="shared" si="1"/>
        <v>4652</v>
      </c>
      <c r="K17" s="5">
        <f t="shared" si="1"/>
        <v>914</v>
      </c>
      <c r="L17" s="5">
        <f t="shared" si="1"/>
        <v>745</v>
      </c>
      <c r="M17" s="5">
        <f t="shared" si="1"/>
        <v>5041</v>
      </c>
      <c r="N17" s="5">
        <f t="shared" si="1"/>
        <v>854</v>
      </c>
      <c r="O17" s="5">
        <f t="shared" si="1"/>
        <v>9460</v>
      </c>
      <c r="P17" s="5">
        <f t="shared" si="1"/>
        <v>397</v>
      </c>
      <c r="Q17" s="5">
        <f t="shared" si="1"/>
        <v>485</v>
      </c>
      <c r="R17" s="5">
        <f t="shared" si="1"/>
        <v>933</v>
      </c>
      <c r="S17" s="5">
        <f t="shared" si="1"/>
        <v>568</v>
      </c>
      <c r="T17" s="5">
        <f t="shared" si="1"/>
        <v>3925</v>
      </c>
      <c r="U17" s="5">
        <f t="shared" si="1"/>
        <v>844</v>
      </c>
      <c r="V17" s="5">
        <f t="shared" si="1"/>
        <v>1569</v>
      </c>
      <c r="W17" s="5">
        <f t="shared" si="1"/>
        <v>1698</v>
      </c>
      <c r="X17" s="5">
        <f t="shared" si="1"/>
        <v>853</v>
      </c>
      <c r="Y17" s="19">
        <f t="shared" si="1"/>
        <v>49387</v>
      </c>
      <c r="Z17">
        <v>4292</v>
      </c>
    </row>
    <row r="18" spans="1:27">
      <c r="A18" s="4" t="s">
        <v>24</v>
      </c>
      <c r="B18" s="5"/>
      <c r="C18" s="5">
        <f>SUM($B$4*C4)+($B$5*C5)+($B$6*C6)+($B$7*C7)+($B$8*C8)+($B$9*C9)+($B$10*C10)+($B$11*C11)+($B$12*C12)+($B$13*C13)+($B$14*C14)+($B$15*C15)+($B$16*C16)</f>
        <v>479233</v>
      </c>
      <c r="D18" s="5">
        <f t="shared" ref="D18:Y18" si="2">SUM($B$4*D4)+($B$5*D5)+($B$6*D6)+($B$7*D7)+($B$8*D8)+($B$9*D9)+($B$10*D10)+($B$11*D11)+($B$12*D12)+($B$13*D13)+($B$14*D14)+($B$15*D15)+($B$16*D16)</f>
        <v>191029</v>
      </c>
      <c r="E18" s="5">
        <f t="shared" si="2"/>
        <v>105174</v>
      </c>
      <c r="F18" s="5">
        <f t="shared" si="2"/>
        <v>704887</v>
      </c>
      <c r="G18" s="5">
        <f t="shared" si="2"/>
        <v>103362</v>
      </c>
      <c r="H18" s="5">
        <f t="shared" si="2"/>
        <v>97602</v>
      </c>
      <c r="I18" s="5">
        <f t="shared" si="2"/>
        <v>98335</v>
      </c>
      <c r="J18" s="5">
        <f t="shared" si="2"/>
        <v>493839</v>
      </c>
      <c r="K18" s="5">
        <f t="shared" si="2"/>
        <v>105830</v>
      </c>
      <c r="L18" s="5">
        <f t="shared" si="2"/>
        <v>74082</v>
      </c>
      <c r="M18" s="5">
        <f t="shared" si="2"/>
        <v>544491</v>
      </c>
      <c r="N18" s="5">
        <f t="shared" si="2"/>
        <v>108610</v>
      </c>
      <c r="O18" s="5">
        <f t="shared" si="2"/>
        <v>1128172</v>
      </c>
      <c r="P18" s="5">
        <f t="shared" si="2"/>
        <v>39672</v>
      </c>
      <c r="Q18" s="5">
        <f t="shared" si="2"/>
        <v>37851</v>
      </c>
      <c r="R18" s="5">
        <f t="shared" si="2"/>
        <v>95271</v>
      </c>
      <c r="S18" s="5">
        <f t="shared" si="2"/>
        <v>55109</v>
      </c>
      <c r="T18" s="5">
        <f t="shared" si="2"/>
        <v>427076</v>
      </c>
      <c r="U18" s="5">
        <f t="shared" si="2"/>
        <v>87689</v>
      </c>
      <c r="V18" s="5">
        <f t="shared" si="2"/>
        <v>165366</v>
      </c>
      <c r="W18" s="5">
        <f t="shared" si="2"/>
        <v>184755</v>
      </c>
      <c r="X18" s="5">
        <f t="shared" si="2"/>
        <v>87802</v>
      </c>
      <c r="Y18" s="26">
        <f t="shared" si="2"/>
        <v>5415237</v>
      </c>
      <c r="Z18" s="20" t="e">
        <f>SUM($B$4*Z4)+($B$11*Z11)+(#REF!*#REF!)+($B$12*Z12)+($B$13*Z13)+(#REF!*#REF!)+(#REF!*#REF!)+(#REF!*#REF!)+(#REF!*#REF!)+(#REF!*#REF!)+(#REF!*#REF!)+(#REF!*#REF!)+(#REF!*#REF!)+(#REF!*#REF!)+(#REF!*#REF!)+(#REF!*#REF!)+(#REF!*#REF!)+(#REF!*#REF!)+(#REF!*#REF!)+(#REF!*#REF!)</f>
        <v>#REF!</v>
      </c>
    </row>
    <row r="19" spans="1:27">
      <c r="A19" s="4" t="s">
        <v>31</v>
      </c>
      <c r="B19" s="5"/>
      <c r="C19" s="5">
        <f>SUM(212*480)</f>
        <v>101760</v>
      </c>
      <c r="D19" s="5">
        <f t="shared" ref="D19:Y19" si="3">SUM(212*480)</f>
        <v>101760</v>
      </c>
      <c r="E19" s="5">
        <f t="shared" si="3"/>
        <v>101760</v>
      </c>
      <c r="F19" s="5">
        <f t="shared" si="3"/>
        <v>101760</v>
      </c>
      <c r="G19" s="5">
        <f t="shared" si="3"/>
        <v>101760</v>
      </c>
      <c r="H19" s="5">
        <f t="shared" si="3"/>
        <v>101760</v>
      </c>
      <c r="I19" s="5">
        <f t="shared" si="3"/>
        <v>101760</v>
      </c>
      <c r="J19" s="5">
        <f t="shared" si="3"/>
        <v>101760</v>
      </c>
      <c r="K19" s="5">
        <f t="shared" si="3"/>
        <v>101760</v>
      </c>
      <c r="L19" s="5">
        <f t="shared" si="3"/>
        <v>101760</v>
      </c>
      <c r="M19" s="5">
        <f t="shared" si="3"/>
        <v>101760</v>
      </c>
      <c r="N19" s="5">
        <f t="shared" si="3"/>
        <v>101760</v>
      </c>
      <c r="O19" s="5">
        <f t="shared" si="3"/>
        <v>101760</v>
      </c>
      <c r="P19" s="5">
        <f t="shared" si="3"/>
        <v>101760</v>
      </c>
      <c r="Q19" s="5">
        <f t="shared" si="3"/>
        <v>101760</v>
      </c>
      <c r="R19" s="5">
        <f t="shared" si="3"/>
        <v>101760</v>
      </c>
      <c r="S19" s="5">
        <f t="shared" si="3"/>
        <v>101760</v>
      </c>
      <c r="T19" s="5">
        <f t="shared" si="3"/>
        <v>101760</v>
      </c>
      <c r="U19" s="5">
        <f t="shared" si="3"/>
        <v>101760</v>
      </c>
      <c r="V19" s="5">
        <f t="shared" si="3"/>
        <v>101760</v>
      </c>
      <c r="W19" s="5">
        <f t="shared" si="3"/>
        <v>101760</v>
      </c>
      <c r="X19" s="5">
        <f t="shared" si="3"/>
        <v>101760</v>
      </c>
      <c r="Y19" s="26">
        <f t="shared" si="3"/>
        <v>101760</v>
      </c>
      <c r="Z19" s="20">
        <f t="shared" ref="Z19:AA19" si="4">SUM(214*480)</f>
        <v>102720</v>
      </c>
      <c r="AA19" s="5">
        <f t="shared" si="4"/>
        <v>102720</v>
      </c>
    </row>
    <row r="20" spans="1:27">
      <c r="A20" s="4" t="s">
        <v>19</v>
      </c>
      <c r="B20" s="5"/>
      <c r="C20" s="5">
        <f>'NCR Time'!$C$10*212</f>
        <v>12919.643576441867</v>
      </c>
      <c r="D20" s="5">
        <f>'NCR Time'!$C$10*212</f>
        <v>12919.643576441867</v>
      </c>
      <c r="E20" s="5">
        <f>'NCR Time'!$C$10*212</f>
        <v>12919.643576441867</v>
      </c>
      <c r="F20" s="5">
        <f>'NCR Time'!$C$10*212</f>
        <v>12919.643576441867</v>
      </c>
      <c r="G20" s="5">
        <f>'NCR Time'!$C$10*212</f>
        <v>12919.643576441867</v>
      </c>
      <c r="H20" s="5">
        <f>'NCR Time'!$C$10*212</f>
        <v>12919.643576441867</v>
      </c>
      <c r="I20" s="5">
        <f>'NCR Time'!$C$10*212</f>
        <v>12919.643576441867</v>
      </c>
      <c r="J20" s="5">
        <f>'NCR Time'!$C$10*212</f>
        <v>12919.643576441867</v>
      </c>
      <c r="K20" s="5">
        <f>'NCR Time'!$C$10*212</f>
        <v>12919.643576441867</v>
      </c>
      <c r="L20" s="5">
        <f>'NCR Time'!$C$10*212</f>
        <v>12919.643576441867</v>
      </c>
      <c r="M20" s="5">
        <f>'NCR Time'!$C$10*212</f>
        <v>12919.643576441867</v>
      </c>
      <c r="N20" s="5">
        <f>'NCR Time'!$C$10*212</f>
        <v>12919.643576441867</v>
      </c>
      <c r="O20" s="5">
        <f>'NCR Time'!$C$10*212</f>
        <v>12919.643576441867</v>
      </c>
      <c r="P20" s="5">
        <f>'NCR Time'!$C$10*212</f>
        <v>12919.643576441867</v>
      </c>
      <c r="Q20" s="5">
        <f>'NCR Time'!$C$10*212</f>
        <v>12919.643576441867</v>
      </c>
      <c r="R20" s="5">
        <f>'NCR Time'!$C$10*212</f>
        <v>12919.643576441867</v>
      </c>
      <c r="S20" s="5">
        <f>'NCR Time'!$C$10*212</f>
        <v>12919.643576441867</v>
      </c>
      <c r="T20" s="5">
        <f>'NCR Time'!$C$10*212</f>
        <v>12919.643576441867</v>
      </c>
      <c r="U20" s="5">
        <f>'NCR Time'!$C$10*212</f>
        <v>12919.643576441867</v>
      </c>
      <c r="V20" s="5">
        <f>'NCR Time'!$C$10*212</f>
        <v>12919.643576441867</v>
      </c>
      <c r="W20" s="5">
        <f>'NCR Time'!$C$10*212</f>
        <v>12919.643576441867</v>
      </c>
      <c r="X20" s="5">
        <f>'NCR Time'!$C$10*212</f>
        <v>12919.643576441867</v>
      </c>
      <c r="Y20" s="26">
        <f>'NCR Time'!$C$10*212</f>
        <v>12919.643576441867</v>
      </c>
      <c r="Z20" s="20">
        <f>'NCR Time'!$C$10*216</f>
        <v>13163.410436374734</v>
      </c>
      <c r="AA20" s="5">
        <f>'NCR Time'!$C$10*216</f>
        <v>13163.410436374734</v>
      </c>
    </row>
    <row r="21" spans="1:27">
      <c r="A21" s="4" t="s">
        <v>20</v>
      </c>
      <c r="B21" s="5"/>
      <c r="C21" s="5">
        <f>C28*212</f>
        <v>1170.24</v>
      </c>
      <c r="D21" s="5">
        <f t="shared" ref="D21:X21" si="5">D28*212</f>
        <v>110.24000000000001</v>
      </c>
      <c r="E21" s="5">
        <f t="shared" si="5"/>
        <v>4884.4799999999996</v>
      </c>
      <c r="F21" s="5">
        <f t="shared" si="5"/>
        <v>4617.0049261083741</v>
      </c>
      <c r="G21" s="5">
        <f t="shared" si="5"/>
        <v>28912.413793103449</v>
      </c>
      <c r="H21" s="5">
        <f t="shared" si="5"/>
        <v>7364.88</v>
      </c>
      <c r="I21" s="5">
        <f t="shared" si="5"/>
        <v>4876</v>
      </c>
      <c r="J21" s="5">
        <f t="shared" si="5"/>
        <v>1015.48</v>
      </c>
      <c r="K21" s="5">
        <f t="shared" si="5"/>
        <v>13831.172413793103</v>
      </c>
      <c r="L21" s="5">
        <f t="shared" si="5"/>
        <v>5191.88</v>
      </c>
      <c r="M21" s="5">
        <f t="shared" si="5"/>
        <v>815.10344827586198</v>
      </c>
      <c r="N21" s="5">
        <f t="shared" si="5"/>
        <v>12449.51724137931</v>
      </c>
      <c r="O21" s="5">
        <f t="shared" si="5"/>
        <v>1459.8758620689655</v>
      </c>
      <c r="P21" s="5">
        <f t="shared" si="5"/>
        <v>1590</v>
      </c>
      <c r="Q21" s="5">
        <f t="shared" si="5"/>
        <v>22472</v>
      </c>
      <c r="R21" s="5">
        <f t="shared" si="5"/>
        <v>12975.862068965516</v>
      </c>
      <c r="S21" s="5">
        <f t="shared" si="5"/>
        <v>11333.52</v>
      </c>
      <c r="T21" s="5">
        <f t="shared" si="5"/>
        <v>404.9931034482758</v>
      </c>
      <c r="U21" s="5">
        <f t="shared" si="5"/>
        <v>3180</v>
      </c>
      <c r="V21" s="5">
        <f t="shared" si="5"/>
        <v>4112.0689655172418</v>
      </c>
      <c r="W21" s="5">
        <f t="shared" si="5"/>
        <v>188.68</v>
      </c>
      <c r="X21" s="5">
        <f t="shared" si="5"/>
        <v>23093.379310344826</v>
      </c>
      <c r="Y21" s="26">
        <f>'NCR Time'!$C$13*212</f>
        <v>3265.9774183704608</v>
      </c>
      <c r="Z21" s="20" t="e">
        <f>'NCR Time'!#REF!*216</f>
        <v>#REF!</v>
      </c>
      <c r="AA21" s="5" t="e">
        <f>'NCR Time'!#REF!*216</f>
        <v>#REF!</v>
      </c>
    </row>
    <row r="22" spans="1:27">
      <c r="A22" s="4" t="s">
        <v>32</v>
      </c>
      <c r="B22" s="5"/>
      <c r="C22" s="5">
        <f>SUM(C19-C20-C21)</f>
        <v>87670.116423558124</v>
      </c>
      <c r="D22" s="5">
        <f t="shared" ref="D22" si="6">SUM(D19-D20-D21)</f>
        <v>88730.116423558124</v>
      </c>
      <c r="E22" s="5">
        <f>SUM(E19-E20-E21)</f>
        <v>83955.876423558133</v>
      </c>
      <c r="F22" s="5">
        <f t="shared" ref="F22:N22" si="7">SUM(F19-F20-F21)</f>
        <v>84223.351497449752</v>
      </c>
      <c r="G22" s="5">
        <f t="shared" si="7"/>
        <v>59927.94263045468</v>
      </c>
      <c r="H22" s="5">
        <f t="shared" si="7"/>
        <v>81475.476423558124</v>
      </c>
      <c r="I22" s="5">
        <f t="shared" si="7"/>
        <v>83964.356423558129</v>
      </c>
      <c r="J22" s="5">
        <f t="shared" si="7"/>
        <v>87824.876423558133</v>
      </c>
      <c r="K22" s="5">
        <f t="shared" si="7"/>
        <v>75009.184009765027</v>
      </c>
      <c r="L22" s="5">
        <f t="shared" si="7"/>
        <v>83648.476423558124</v>
      </c>
      <c r="M22" s="5">
        <f t="shared" si="7"/>
        <v>88025.252975282274</v>
      </c>
      <c r="N22" s="5">
        <f t="shared" si="7"/>
        <v>76390.839182178825</v>
      </c>
      <c r="O22" s="5">
        <f>SUM(O19-O20-O21)</f>
        <v>87380.480561489167</v>
      </c>
      <c r="P22" s="5">
        <f t="shared" ref="P22:Z22" si="8">SUM(P19-P20-P21)</f>
        <v>87250.356423558129</v>
      </c>
      <c r="Q22" s="5">
        <f t="shared" si="8"/>
        <v>66368.356423558129</v>
      </c>
      <c r="R22" s="5">
        <f t="shared" si="8"/>
        <v>75864.494354592607</v>
      </c>
      <c r="S22" s="5">
        <f t="shared" si="8"/>
        <v>77506.836423558125</v>
      </c>
      <c r="T22" s="5">
        <f t="shared" si="8"/>
        <v>88435.363320109856</v>
      </c>
      <c r="U22" s="5">
        <f t="shared" si="8"/>
        <v>85660.356423558129</v>
      </c>
      <c r="V22" s="5">
        <f t="shared" si="8"/>
        <v>84728.287458040882</v>
      </c>
      <c r="W22" s="5">
        <f t="shared" si="8"/>
        <v>88651.676423558136</v>
      </c>
      <c r="X22" s="5">
        <f t="shared" si="8"/>
        <v>65746.977113213303</v>
      </c>
      <c r="Y22" s="19">
        <f t="shared" si="8"/>
        <v>85574.379005187671</v>
      </c>
      <c r="Z22" s="20" t="e">
        <f t="shared" si="8"/>
        <v>#REF!</v>
      </c>
    </row>
    <row r="23" spans="1:27" s="38" customFormat="1">
      <c r="A23" s="63" t="s">
        <v>33</v>
      </c>
      <c r="B23" s="64"/>
      <c r="C23" s="65">
        <f>SUM(C18/C22)</f>
        <v>5.4663210173543666</v>
      </c>
      <c r="D23" s="65">
        <f t="shared" ref="D23" si="9">SUM(D18/D22)</f>
        <v>2.1529217778562635</v>
      </c>
      <c r="E23" s="65">
        <f>SUM(E18/E22)</f>
        <v>1.2527294631455723</v>
      </c>
      <c r="F23" s="65">
        <f t="shared" ref="F23" si="10">SUM(F18/F22)</f>
        <v>8.3692584950308433</v>
      </c>
      <c r="G23" s="65">
        <f>SUM(G18/G22)</f>
        <v>1.7247713748055926</v>
      </c>
      <c r="H23" s="65">
        <f t="shared" ref="H23:N23" si="11">SUM(H18/H22)</f>
        <v>1.197931012917391</v>
      </c>
      <c r="I23" s="65">
        <f t="shared" si="11"/>
        <v>1.171151714710337</v>
      </c>
      <c r="J23" s="65">
        <f t="shared" si="11"/>
        <v>5.6229968103608137</v>
      </c>
      <c r="K23" s="65">
        <f t="shared" si="11"/>
        <v>1.4108938978221999</v>
      </c>
      <c r="L23" s="65">
        <f t="shared" si="11"/>
        <v>0.8856347798241081</v>
      </c>
      <c r="M23" s="65">
        <f t="shared" si="11"/>
        <v>6.1856226661784719</v>
      </c>
      <c r="N23" s="65">
        <f t="shared" si="11"/>
        <v>1.4217673370622896</v>
      </c>
      <c r="O23" s="65">
        <f>SUM(O18/O22)</f>
        <v>12.911029931977904</v>
      </c>
      <c r="P23" s="65">
        <f t="shared" ref="P23" si="12">SUM(P18/P22)</f>
        <v>0.4546915522890439</v>
      </c>
      <c r="Q23" s="65">
        <f>SUM(Q18/Q22)</f>
        <v>0.57031697091363254</v>
      </c>
      <c r="R23" s="65">
        <f t="shared" ref="R23:X23" si="13">SUM(R18/R22)</f>
        <v>1.255804850615637</v>
      </c>
      <c r="S23" s="65">
        <f t="shared" si="13"/>
        <v>0.71102115042912106</v>
      </c>
      <c r="T23" s="65">
        <f t="shared" si="13"/>
        <v>4.8292445913758639</v>
      </c>
      <c r="U23" s="65">
        <f t="shared" si="13"/>
        <v>1.0236824087727465</v>
      </c>
      <c r="V23" s="65">
        <f t="shared" si="13"/>
        <v>1.951721260528162</v>
      </c>
      <c r="W23" s="65">
        <f t="shared" si="13"/>
        <v>2.0840553439427518</v>
      </c>
      <c r="X23" s="65">
        <f t="shared" si="13"/>
        <v>1.3354530330544163</v>
      </c>
      <c r="Y23" s="82">
        <f>SUM(C23:X23)</f>
        <v>63.98902144096752</v>
      </c>
      <c r="Z23" s="40" t="e">
        <f>SUM(Z18/Z22)</f>
        <v>#REF!</v>
      </c>
    </row>
    <row r="24" spans="1:27" s="38" customFormat="1">
      <c r="A24" s="63" t="s">
        <v>87</v>
      </c>
      <c r="B24" s="64"/>
      <c r="C24" s="86">
        <v>4</v>
      </c>
      <c r="D24" s="86">
        <v>2</v>
      </c>
      <c r="E24" s="86">
        <v>1</v>
      </c>
      <c r="F24" s="86">
        <v>6</v>
      </c>
      <c r="G24" s="86">
        <v>1</v>
      </c>
      <c r="H24" s="86">
        <v>1</v>
      </c>
      <c r="I24" s="86">
        <v>2</v>
      </c>
      <c r="J24" s="86">
        <v>4.5</v>
      </c>
      <c r="K24" s="86">
        <v>1.25</v>
      </c>
      <c r="L24" s="86">
        <v>1</v>
      </c>
      <c r="M24" s="86">
        <v>4</v>
      </c>
      <c r="N24" s="86">
        <v>1</v>
      </c>
      <c r="O24" s="86">
        <v>8.75</v>
      </c>
      <c r="P24" s="86">
        <v>1</v>
      </c>
      <c r="Q24" s="86">
        <v>1</v>
      </c>
      <c r="R24" s="86">
        <v>2</v>
      </c>
      <c r="S24" s="86">
        <v>1</v>
      </c>
      <c r="T24" s="86">
        <v>4.5</v>
      </c>
      <c r="U24" s="86">
        <v>1</v>
      </c>
      <c r="V24" s="86">
        <v>2</v>
      </c>
      <c r="W24" s="86">
        <v>2</v>
      </c>
      <c r="X24" s="86">
        <v>1.25</v>
      </c>
      <c r="Y24" s="87">
        <f>SUM(C24:X24)</f>
        <v>53.25</v>
      </c>
      <c r="Z24" s="40"/>
    </row>
    <row r="25" spans="1:27" s="38" customFormat="1" ht="16.2" thickBot="1">
      <c r="A25" s="42" t="s">
        <v>88</v>
      </c>
      <c r="B25" s="43"/>
      <c r="C25" s="44">
        <f>C23-C24</f>
        <v>1.4663210173543666</v>
      </c>
      <c r="D25" s="44">
        <f t="shared" ref="D25:Y25" si="14">D23-D24</f>
        <v>0.15292177785626349</v>
      </c>
      <c r="E25" s="44">
        <f t="shared" si="14"/>
        <v>0.25272946314557232</v>
      </c>
      <c r="F25" s="44">
        <f t="shared" si="14"/>
        <v>2.3692584950308433</v>
      </c>
      <c r="G25" s="44">
        <f t="shared" si="14"/>
        <v>0.72477137480559262</v>
      </c>
      <c r="H25" s="44">
        <f t="shared" si="14"/>
        <v>0.19793101291739101</v>
      </c>
      <c r="I25" s="44">
        <f t="shared" si="14"/>
        <v>-0.82884828528966303</v>
      </c>
      <c r="J25" s="44">
        <f t="shared" si="14"/>
        <v>1.1229968103608137</v>
      </c>
      <c r="K25" s="44">
        <f t="shared" si="14"/>
        <v>0.16089389782219987</v>
      </c>
      <c r="L25" s="44">
        <f t="shared" si="14"/>
        <v>-0.1143652201758919</v>
      </c>
      <c r="M25" s="44">
        <f t="shared" si="14"/>
        <v>2.1856226661784719</v>
      </c>
      <c r="N25" s="44">
        <f t="shared" si="14"/>
        <v>0.42176733706228964</v>
      </c>
      <c r="O25" s="44">
        <f t="shared" si="14"/>
        <v>4.1610299319779038</v>
      </c>
      <c r="P25" s="44">
        <f t="shared" si="14"/>
        <v>-0.5453084477109561</v>
      </c>
      <c r="Q25" s="44">
        <f t="shared" si="14"/>
        <v>-0.42968302908636746</v>
      </c>
      <c r="R25" s="44">
        <f t="shared" si="14"/>
        <v>-0.74419514938436304</v>
      </c>
      <c r="S25" s="44">
        <f t="shared" si="14"/>
        <v>-0.28897884957087894</v>
      </c>
      <c r="T25" s="44">
        <f t="shared" si="14"/>
        <v>0.32924459137586393</v>
      </c>
      <c r="U25" s="44">
        <f t="shared" si="14"/>
        <v>2.3682408772746522E-2</v>
      </c>
      <c r="V25" s="44">
        <f t="shared" si="14"/>
        <v>-4.8278739471838028E-2</v>
      </c>
      <c r="W25" s="44">
        <f t="shared" si="14"/>
        <v>8.4055343942751826E-2</v>
      </c>
      <c r="X25" s="44">
        <f t="shared" si="14"/>
        <v>8.5453033054416316E-2</v>
      </c>
      <c r="Y25" s="57">
        <f t="shared" si="14"/>
        <v>10.73902144096752</v>
      </c>
      <c r="Z25" s="40"/>
    </row>
    <row r="28" spans="1:27" hidden="1">
      <c r="A28" s="66" t="s">
        <v>91</v>
      </c>
      <c r="C28">
        <v>5.52</v>
      </c>
      <c r="D28">
        <v>0.52</v>
      </c>
      <c r="E28">
        <v>23.04</v>
      </c>
      <c r="F28">
        <v>21.778325123152708</v>
      </c>
      <c r="G28">
        <v>136.37931034482759</v>
      </c>
      <c r="H28">
        <v>34.74</v>
      </c>
      <c r="I28">
        <v>23</v>
      </c>
      <c r="J28">
        <v>4.79</v>
      </c>
      <c r="K28">
        <v>65.241379310344826</v>
      </c>
      <c r="L28">
        <v>24.49</v>
      </c>
      <c r="M28">
        <v>3.8448275862068964</v>
      </c>
      <c r="N28">
        <v>58.724137931034484</v>
      </c>
      <c r="O28">
        <v>6.886206896551724</v>
      </c>
      <c r="P28">
        <v>7.5</v>
      </c>
      <c r="Q28">
        <v>106</v>
      </c>
      <c r="R28">
        <v>61.206896551724135</v>
      </c>
      <c r="S28">
        <v>53.46</v>
      </c>
      <c r="T28">
        <v>1.9103448275862067</v>
      </c>
      <c r="U28">
        <v>15</v>
      </c>
      <c r="V28">
        <v>19.396551724137932</v>
      </c>
      <c r="W28">
        <v>0.89</v>
      </c>
      <c r="X28">
        <v>108.93103448275862</v>
      </c>
    </row>
  </sheetData>
  <mergeCells count="3">
    <mergeCell ref="A1:Y1"/>
    <mergeCell ref="A2:A3"/>
    <mergeCell ref="C2:X2"/>
  </mergeCells>
  <pageMargins left="0.7" right="0.7" top="0.75" bottom="0.75" header="0.3" footer="0.3"/>
  <pageSetup scale="41" orientation="landscape" r:id="rId1"/>
  <headerFooter>
    <oddFooter>&amp;CPage &amp;P</oddFooter>
  </headerFooter>
  <ignoredErrors>
    <ignoredError sqref="Y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F4A7-49F0-BF44-9EA1-7A427D6DCA53}">
  <sheetPr>
    <tabColor rgb="FF00B050"/>
    <pageSetUpPr fitToPage="1"/>
  </sheetPr>
  <dimension ref="A1:H25"/>
  <sheetViews>
    <sheetView showGridLines="0" workbookViewId="0">
      <selection activeCell="B29" sqref="B29"/>
    </sheetView>
  </sheetViews>
  <sheetFormatPr defaultColWidth="11" defaultRowHeight="15.6"/>
  <cols>
    <col min="1" max="8" width="12.69921875" customWidth="1"/>
  </cols>
  <sheetData>
    <row r="1" spans="1:8" ht="18">
      <c r="A1" s="98" t="s">
        <v>103</v>
      </c>
      <c r="B1" s="98"/>
      <c r="C1" s="98"/>
      <c r="D1" s="98"/>
      <c r="E1" s="98"/>
      <c r="F1" s="98"/>
      <c r="G1" s="98"/>
      <c r="H1" s="98"/>
    </row>
    <row r="2" spans="1:8" s="67" customFormat="1" ht="62.4">
      <c r="A2" s="73" t="s">
        <v>98</v>
      </c>
      <c r="B2" s="73" t="s">
        <v>92</v>
      </c>
      <c r="C2" s="73" t="s">
        <v>0</v>
      </c>
      <c r="D2" s="73" t="s">
        <v>93</v>
      </c>
      <c r="E2" s="73" t="s">
        <v>94</v>
      </c>
      <c r="F2" s="73" t="s">
        <v>97</v>
      </c>
      <c r="G2" s="73" t="s">
        <v>95</v>
      </c>
      <c r="H2" s="73" t="s">
        <v>96</v>
      </c>
    </row>
    <row r="3" spans="1:8">
      <c r="A3" s="69" t="s">
        <v>35</v>
      </c>
      <c r="B3" s="71">
        <f>'Model All- Adjusted travel'!$C$18</f>
        <v>479233</v>
      </c>
      <c r="C3" s="68">
        <f>SUM(212*480)</f>
        <v>101760</v>
      </c>
      <c r="D3" s="68">
        <f>'NCR Time'!$C$10*212</f>
        <v>12919.643576441867</v>
      </c>
      <c r="E3" s="78">
        <f>'Model All- Adjusted travel'!$C$21</f>
        <v>1170.24</v>
      </c>
      <c r="F3" s="71">
        <f>SUM(C3-D3-E3)</f>
        <v>87670.116423558124</v>
      </c>
      <c r="G3" s="72">
        <f>SUM(B3/F3)</f>
        <v>5.4663210173543666</v>
      </c>
      <c r="H3" s="71">
        <f>'Model All- Adjusted travel'!$C$24</f>
        <v>4</v>
      </c>
    </row>
    <row r="4" spans="1:8">
      <c r="A4" s="69" t="s">
        <v>36</v>
      </c>
      <c r="B4" s="71">
        <f>'Model All- Adjusted travel'!$D$18</f>
        <v>191029</v>
      </c>
      <c r="C4" s="68">
        <f t="shared" ref="C4:C24" si="0">SUM(212*480)</f>
        <v>101760</v>
      </c>
      <c r="D4" s="68">
        <f>'NCR Time'!$C$10*212</f>
        <v>12919.643576441867</v>
      </c>
      <c r="E4" s="78">
        <f>'Model All- Adjusted travel'!$D$21</f>
        <v>110.24000000000001</v>
      </c>
      <c r="F4" s="71">
        <f t="shared" ref="F4:F24" si="1">SUM(C4-D4-E4)</f>
        <v>88730.116423558124</v>
      </c>
      <c r="G4" s="72">
        <f t="shared" ref="G4:G24" si="2">SUM(B4/F4)</f>
        <v>2.1529217778562635</v>
      </c>
      <c r="H4" s="71">
        <f>'Model All- Adjusted travel'!$D$24</f>
        <v>2</v>
      </c>
    </row>
    <row r="5" spans="1:8">
      <c r="A5" s="69" t="s">
        <v>37</v>
      </c>
      <c r="B5" s="71">
        <f>'Model All- Adjusted travel'!$E$18</f>
        <v>105174</v>
      </c>
      <c r="C5" s="68">
        <f t="shared" si="0"/>
        <v>101760</v>
      </c>
      <c r="D5" s="68">
        <f>'NCR Time'!$C$10*212</f>
        <v>12919.643576441867</v>
      </c>
      <c r="E5" s="78">
        <f>'Model All- Adjusted travel'!$E$21</f>
        <v>4884.4799999999996</v>
      </c>
      <c r="F5" s="71">
        <f t="shared" si="1"/>
        <v>83955.876423558133</v>
      </c>
      <c r="G5" s="72">
        <f t="shared" si="2"/>
        <v>1.2527294631455723</v>
      </c>
      <c r="H5" s="71">
        <f>'Model All- Adjusted travel'!$E$24</f>
        <v>1</v>
      </c>
    </row>
    <row r="6" spans="1:8">
      <c r="A6" s="69" t="s">
        <v>38</v>
      </c>
      <c r="B6" s="71">
        <f>'Model All- Adjusted travel'!$F$18</f>
        <v>704887</v>
      </c>
      <c r="C6" s="68">
        <f t="shared" si="0"/>
        <v>101760</v>
      </c>
      <c r="D6" s="68">
        <f>'NCR Time'!$C$10*212</f>
        <v>12919.643576441867</v>
      </c>
      <c r="E6" s="78">
        <f>'Model All- Adjusted travel'!$F$21</f>
        <v>4617.0049261083741</v>
      </c>
      <c r="F6" s="71">
        <f t="shared" si="1"/>
        <v>84223.351497449752</v>
      </c>
      <c r="G6" s="72">
        <f t="shared" si="2"/>
        <v>8.3692584950308433</v>
      </c>
      <c r="H6" s="71">
        <v>6</v>
      </c>
    </row>
    <row r="7" spans="1:8">
      <c r="A7" s="69" t="s">
        <v>39</v>
      </c>
      <c r="B7" s="71">
        <f>'Model All- Adjusted travel'!$G$18</f>
        <v>103362</v>
      </c>
      <c r="C7" s="68">
        <f t="shared" si="0"/>
        <v>101760</v>
      </c>
      <c r="D7" s="68">
        <f>'NCR Time'!$C$10*212</f>
        <v>12919.643576441867</v>
      </c>
      <c r="E7" s="78">
        <f>'Model All- Adjusted travel'!$G$21</f>
        <v>28912.413793103449</v>
      </c>
      <c r="F7" s="71">
        <f t="shared" si="1"/>
        <v>59927.94263045468</v>
      </c>
      <c r="G7" s="72">
        <f t="shared" si="2"/>
        <v>1.7247713748055926</v>
      </c>
      <c r="H7" s="71">
        <f>'Model All- Adjusted travel'!$G$24</f>
        <v>1</v>
      </c>
    </row>
    <row r="8" spans="1:8">
      <c r="A8" s="69" t="s">
        <v>40</v>
      </c>
      <c r="B8" s="71">
        <f>'Model All- Adjusted travel'!$H$18</f>
        <v>97602</v>
      </c>
      <c r="C8" s="68">
        <f t="shared" si="0"/>
        <v>101760</v>
      </c>
      <c r="D8" s="68">
        <f>'NCR Time'!$C$10*212</f>
        <v>12919.643576441867</v>
      </c>
      <c r="E8" s="78">
        <f>'Model All- Adjusted travel'!$H$21</f>
        <v>7364.88</v>
      </c>
      <c r="F8" s="71">
        <f t="shared" si="1"/>
        <v>81475.476423558124</v>
      </c>
      <c r="G8" s="72">
        <f t="shared" si="2"/>
        <v>1.197931012917391</v>
      </c>
      <c r="H8" s="71">
        <f>'Model All- Adjusted travel'!$H$24</f>
        <v>1</v>
      </c>
    </row>
    <row r="9" spans="1:8">
      <c r="A9" s="69" t="s">
        <v>41</v>
      </c>
      <c r="B9" s="71">
        <f>'Model All- Adjusted travel'!$I$18</f>
        <v>98335</v>
      </c>
      <c r="C9" s="68">
        <f t="shared" si="0"/>
        <v>101760</v>
      </c>
      <c r="D9" s="68">
        <f>'NCR Time'!$C$10*212</f>
        <v>12919.643576441867</v>
      </c>
      <c r="E9" s="78">
        <f>'Model All- Adjusted travel'!$I$21</f>
        <v>4876</v>
      </c>
      <c r="F9" s="71">
        <f t="shared" si="1"/>
        <v>83964.356423558129</v>
      </c>
      <c r="G9" s="72">
        <f t="shared" si="2"/>
        <v>1.171151714710337</v>
      </c>
      <c r="H9" s="71">
        <f>'Model All- Adjusted travel'!$I$24</f>
        <v>2</v>
      </c>
    </row>
    <row r="10" spans="1:8">
      <c r="A10" s="69" t="s">
        <v>42</v>
      </c>
      <c r="B10" s="71">
        <f>'Model All- Adjusted travel'!$J$18</f>
        <v>493839</v>
      </c>
      <c r="C10" s="68">
        <f t="shared" si="0"/>
        <v>101760</v>
      </c>
      <c r="D10" s="68">
        <f>'NCR Time'!$C$10*212</f>
        <v>12919.643576441867</v>
      </c>
      <c r="E10" s="78">
        <f>'Model All- Adjusted travel'!$J$21</f>
        <v>1015.48</v>
      </c>
      <c r="F10" s="71">
        <f t="shared" si="1"/>
        <v>87824.876423558133</v>
      </c>
      <c r="G10" s="72">
        <f t="shared" si="2"/>
        <v>5.6229968103608137</v>
      </c>
      <c r="H10" s="83">
        <v>4.5</v>
      </c>
    </row>
    <row r="11" spans="1:8">
      <c r="A11" s="69" t="s">
        <v>43</v>
      </c>
      <c r="B11" s="71">
        <f>'Model All- Adjusted travel'!$K$18</f>
        <v>105830</v>
      </c>
      <c r="C11" s="68">
        <f t="shared" si="0"/>
        <v>101760</v>
      </c>
      <c r="D11" s="68">
        <f>'NCR Time'!$C$10*212</f>
        <v>12919.643576441867</v>
      </c>
      <c r="E11" s="78">
        <f>'Model All- Adjusted travel'!$K$21</f>
        <v>13831.172413793103</v>
      </c>
      <c r="F11" s="71">
        <f t="shared" si="1"/>
        <v>75009.184009765027</v>
      </c>
      <c r="G11" s="72">
        <f t="shared" si="2"/>
        <v>1.4108938978221999</v>
      </c>
      <c r="H11" s="84">
        <v>1.25</v>
      </c>
    </row>
    <row r="12" spans="1:8">
      <c r="A12" s="69" t="s">
        <v>44</v>
      </c>
      <c r="B12" s="71">
        <f>'Model All- Adjusted travel'!$L$18</f>
        <v>74082</v>
      </c>
      <c r="C12" s="68">
        <f t="shared" si="0"/>
        <v>101760</v>
      </c>
      <c r="D12" s="68">
        <f>'NCR Time'!$C$10*212</f>
        <v>12919.643576441867</v>
      </c>
      <c r="E12" s="78">
        <f>'Model All- Adjusted travel'!$L$21</f>
        <v>5191.88</v>
      </c>
      <c r="F12" s="71">
        <f t="shared" si="1"/>
        <v>83648.476423558124</v>
      </c>
      <c r="G12" s="72">
        <f t="shared" si="2"/>
        <v>0.8856347798241081</v>
      </c>
      <c r="H12" s="71">
        <f>'Model All- Adjusted travel'!$L$24</f>
        <v>1</v>
      </c>
    </row>
    <row r="13" spans="1:8">
      <c r="A13" s="69" t="s">
        <v>45</v>
      </c>
      <c r="B13" s="71">
        <f>'Model All- Adjusted travel'!$M$18</f>
        <v>544491</v>
      </c>
      <c r="C13" s="68">
        <f t="shared" si="0"/>
        <v>101760</v>
      </c>
      <c r="D13" s="68">
        <f>'NCR Time'!$C$10*212</f>
        <v>12919.643576441867</v>
      </c>
      <c r="E13" s="78">
        <f>'Model All- Adjusted travel'!$M$21</f>
        <v>815.10344827586198</v>
      </c>
      <c r="F13" s="71">
        <f t="shared" si="1"/>
        <v>88025.252975282274</v>
      </c>
      <c r="G13" s="72">
        <f t="shared" si="2"/>
        <v>6.1856226661784719</v>
      </c>
      <c r="H13" s="71">
        <f>'Model All- Adjusted travel'!$M$24</f>
        <v>4</v>
      </c>
    </row>
    <row r="14" spans="1:8">
      <c r="A14" s="69" t="s">
        <v>46</v>
      </c>
      <c r="B14" s="71">
        <f>'Model All- Adjusted travel'!$N$18</f>
        <v>108610</v>
      </c>
      <c r="C14" s="68">
        <f t="shared" si="0"/>
        <v>101760</v>
      </c>
      <c r="D14" s="68">
        <f>'NCR Time'!$C$10*212</f>
        <v>12919.643576441867</v>
      </c>
      <c r="E14" s="78">
        <f>'Model All- Adjusted travel'!$N$21</f>
        <v>12449.51724137931</v>
      </c>
      <c r="F14" s="71">
        <f t="shared" si="1"/>
        <v>76390.839182178825</v>
      </c>
      <c r="G14" s="72">
        <f t="shared" si="2"/>
        <v>1.4217673370622896</v>
      </c>
      <c r="H14" s="71">
        <f>'Model All- Adjusted travel'!$N$24</f>
        <v>1</v>
      </c>
    </row>
    <row r="15" spans="1:8">
      <c r="A15" s="69" t="s">
        <v>47</v>
      </c>
      <c r="B15" s="71">
        <f>'Model All- Adjusted travel'!$O$18</f>
        <v>1128172</v>
      </c>
      <c r="C15" s="68">
        <f t="shared" si="0"/>
        <v>101760</v>
      </c>
      <c r="D15" s="68">
        <f>'NCR Time'!$C$10*212</f>
        <v>12919.643576441867</v>
      </c>
      <c r="E15" s="78">
        <f>'Model All- Adjusted travel'!$O$21</f>
        <v>1459.8758620689655</v>
      </c>
      <c r="F15" s="71">
        <f t="shared" si="1"/>
        <v>87380.480561489167</v>
      </c>
      <c r="G15" s="72">
        <f t="shared" si="2"/>
        <v>12.911029931977904</v>
      </c>
      <c r="H15" s="84">
        <v>8.75</v>
      </c>
    </row>
    <row r="16" spans="1:8">
      <c r="A16" s="69" t="s">
        <v>48</v>
      </c>
      <c r="B16" s="71">
        <f>'Model All- Adjusted travel'!$P$18</f>
        <v>39672</v>
      </c>
      <c r="C16" s="68">
        <f t="shared" si="0"/>
        <v>101760</v>
      </c>
      <c r="D16" s="68">
        <f>'NCR Time'!$C$10*212</f>
        <v>12919.643576441867</v>
      </c>
      <c r="E16" s="78">
        <f>'Model All- Adjusted travel'!$P$21</f>
        <v>1590</v>
      </c>
      <c r="F16" s="71">
        <f t="shared" si="1"/>
        <v>87250.356423558129</v>
      </c>
      <c r="G16" s="72">
        <f t="shared" si="2"/>
        <v>0.4546915522890439</v>
      </c>
      <c r="H16" s="71">
        <f>'Model All- Adjusted travel'!$P$24</f>
        <v>1</v>
      </c>
    </row>
    <row r="17" spans="1:8">
      <c r="A17" s="69" t="s">
        <v>49</v>
      </c>
      <c r="B17" s="71">
        <f>'Model All- Adjusted travel'!$Q$18</f>
        <v>37851</v>
      </c>
      <c r="C17" s="68">
        <f t="shared" si="0"/>
        <v>101760</v>
      </c>
      <c r="D17" s="68">
        <f>'NCR Time'!$C$10*212</f>
        <v>12919.643576441867</v>
      </c>
      <c r="E17" s="78">
        <f>'Model All- Adjusted travel'!$Q$21</f>
        <v>22472</v>
      </c>
      <c r="F17" s="71">
        <f t="shared" si="1"/>
        <v>66368.356423558129</v>
      </c>
      <c r="G17" s="72">
        <f t="shared" si="2"/>
        <v>0.57031697091363254</v>
      </c>
      <c r="H17" s="71">
        <f>'Model All- Adjusted travel'!$Q$24</f>
        <v>1</v>
      </c>
    </row>
    <row r="18" spans="1:8">
      <c r="A18" s="69" t="s">
        <v>50</v>
      </c>
      <c r="B18" s="71">
        <f>'Model All- Adjusted travel'!$R$18</f>
        <v>95271</v>
      </c>
      <c r="C18" s="68">
        <f t="shared" si="0"/>
        <v>101760</v>
      </c>
      <c r="D18" s="68">
        <f>'NCR Time'!$C$10*212</f>
        <v>12919.643576441867</v>
      </c>
      <c r="E18" s="78">
        <f>'Model All- Adjusted travel'!$R$21</f>
        <v>12975.862068965516</v>
      </c>
      <c r="F18" s="71">
        <f t="shared" si="1"/>
        <v>75864.494354592607</v>
      </c>
      <c r="G18" s="72">
        <f t="shared" si="2"/>
        <v>1.255804850615637</v>
      </c>
      <c r="H18" s="71">
        <f>'Model All- Adjusted travel'!$R$24</f>
        <v>2</v>
      </c>
    </row>
    <row r="19" spans="1:8">
      <c r="A19" s="69" t="s">
        <v>51</v>
      </c>
      <c r="B19" s="71">
        <f>'Model All- Adjusted travel'!$S$18</f>
        <v>55109</v>
      </c>
      <c r="C19" s="68">
        <f t="shared" si="0"/>
        <v>101760</v>
      </c>
      <c r="D19" s="68">
        <f>'NCR Time'!$C$10*212</f>
        <v>12919.643576441867</v>
      </c>
      <c r="E19" s="78">
        <f>'Model All- Adjusted travel'!$S$21</f>
        <v>11333.52</v>
      </c>
      <c r="F19" s="71">
        <f t="shared" si="1"/>
        <v>77506.836423558125</v>
      </c>
      <c r="G19" s="72">
        <f t="shared" si="2"/>
        <v>0.71102115042912106</v>
      </c>
      <c r="H19" s="71">
        <f>'Model All- Adjusted travel'!$S$24</f>
        <v>1</v>
      </c>
    </row>
    <row r="20" spans="1:8">
      <c r="A20" s="69" t="s">
        <v>52</v>
      </c>
      <c r="B20" s="71">
        <f>'Model All- Adjusted travel'!$T$18</f>
        <v>427076</v>
      </c>
      <c r="C20" s="68">
        <f t="shared" si="0"/>
        <v>101760</v>
      </c>
      <c r="D20" s="68">
        <f>'NCR Time'!$C$10*212</f>
        <v>12919.643576441867</v>
      </c>
      <c r="E20" s="78">
        <f>'Model All- Adjusted travel'!$T$21</f>
        <v>404.9931034482758</v>
      </c>
      <c r="F20" s="71">
        <f t="shared" si="1"/>
        <v>88435.363320109856</v>
      </c>
      <c r="G20" s="72">
        <f t="shared" si="2"/>
        <v>4.8292445913758639</v>
      </c>
      <c r="H20" s="83">
        <v>4.5</v>
      </c>
    </row>
    <row r="21" spans="1:8">
      <c r="A21" s="69" t="s">
        <v>53</v>
      </c>
      <c r="B21" s="71">
        <f>'Model All- Adjusted travel'!$U$18</f>
        <v>87689</v>
      </c>
      <c r="C21" s="68">
        <f t="shared" si="0"/>
        <v>101760</v>
      </c>
      <c r="D21" s="68">
        <f>'NCR Time'!$C$10*212</f>
        <v>12919.643576441867</v>
      </c>
      <c r="E21" s="78">
        <f>'Model All- Adjusted travel'!$U$21</f>
        <v>3180</v>
      </c>
      <c r="F21" s="71">
        <f t="shared" si="1"/>
        <v>85660.356423558129</v>
      </c>
      <c r="G21" s="72">
        <f t="shared" si="2"/>
        <v>1.0236824087727465</v>
      </c>
      <c r="H21" s="71">
        <f>'Model All- Adjusted travel'!$U$24</f>
        <v>1</v>
      </c>
    </row>
    <row r="22" spans="1:8">
      <c r="A22" s="69" t="s">
        <v>54</v>
      </c>
      <c r="B22" s="71">
        <f>'Model All- Adjusted travel'!$V$18</f>
        <v>165366</v>
      </c>
      <c r="C22" s="68">
        <f t="shared" si="0"/>
        <v>101760</v>
      </c>
      <c r="D22" s="68">
        <f>'NCR Time'!$C$10*212</f>
        <v>12919.643576441867</v>
      </c>
      <c r="E22" s="78">
        <f>'Model All- Adjusted travel'!$V$21</f>
        <v>4112.0689655172418</v>
      </c>
      <c r="F22" s="71">
        <f t="shared" si="1"/>
        <v>84728.287458040882</v>
      </c>
      <c r="G22" s="72">
        <f t="shared" si="2"/>
        <v>1.951721260528162</v>
      </c>
      <c r="H22" s="71">
        <f>'Model All- Adjusted travel'!$V$24</f>
        <v>2</v>
      </c>
    </row>
    <row r="23" spans="1:8">
      <c r="A23" s="69" t="s">
        <v>55</v>
      </c>
      <c r="B23" s="71">
        <f>'Model All- Adjusted travel'!$W$18</f>
        <v>184755</v>
      </c>
      <c r="C23" s="68">
        <f t="shared" si="0"/>
        <v>101760</v>
      </c>
      <c r="D23" s="68">
        <f>'NCR Time'!$C$10*212</f>
        <v>12919.643576441867</v>
      </c>
      <c r="E23" s="78">
        <f>'Model All- Adjusted travel'!$W$21</f>
        <v>188.68</v>
      </c>
      <c r="F23" s="71">
        <f t="shared" si="1"/>
        <v>88651.676423558136</v>
      </c>
      <c r="G23" s="72">
        <f t="shared" si="2"/>
        <v>2.0840553439427518</v>
      </c>
      <c r="H23" s="71">
        <f>'Model All- Adjusted travel'!$W$24</f>
        <v>2</v>
      </c>
    </row>
    <row r="24" spans="1:8">
      <c r="A24" s="69" t="s">
        <v>56</v>
      </c>
      <c r="B24" s="71">
        <f>'Model All- Adjusted travel'!$X$18</f>
        <v>87802</v>
      </c>
      <c r="C24" s="68">
        <f t="shared" si="0"/>
        <v>101760</v>
      </c>
      <c r="D24" s="68">
        <f>'NCR Time'!$C$10*212</f>
        <v>12919.643576441867</v>
      </c>
      <c r="E24" s="78">
        <f>'Model All- Adjusted travel'!$X$21</f>
        <v>23093.379310344826</v>
      </c>
      <c r="F24" s="71">
        <f t="shared" si="1"/>
        <v>65746.977113213303</v>
      </c>
      <c r="G24" s="72">
        <f t="shared" si="2"/>
        <v>1.3354530330544163</v>
      </c>
      <c r="H24" s="84">
        <v>1.25</v>
      </c>
    </row>
    <row r="25" spans="1:8">
      <c r="A25" s="70" t="s">
        <v>23</v>
      </c>
      <c r="B25" s="74">
        <f>SUM(B3:B24)</f>
        <v>5415237</v>
      </c>
      <c r="C25" s="75"/>
      <c r="D25" s="75"/>
      <c r="E25" s="76"/>
      <c r="F25" s="76"/>
      <c r="G25" s="77">
        <f>SUM(G3:G24)</f>
        <v>63.98902144096752</v>
      </c>
      <c r="H25" s="81">
        <f>SUM(H3:H24)</f>
        <v>53.25</v>
      </c>
    </row>
  </sheetData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Case WT Development All </vt:lpstr>
      <vt:lpstr>NCR Time</vt:lpstr>
      <vt:lpstr>Model All- Adjusted travel</vt:lpstr>
      <vt:lpstr>Model  Summary</vt:lpstr>
      <vt:lpstr>'Case WT Development All '!Print_Area</vt:lpstr>
      <vt:lpstr>'Model All- Adjusted travel'!Print_Area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McLaughlin, Beth</cp:lastModifiedBy>
  <cp:lastPrinted>2023-01-10T15:47:39Z</cp:lastPrinted>
  <dcterms:created xsi:type="dcterms:W3CDTF">2018-03-13T16:31:46Z</dcterms:created>
  <dcterms:modified xsi:type="dcterms:W3CDTF">2023-01-10T21:59:55Z</dcterms:modified>
</cp:coreProperties>
</file>